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Sugar and Sweeteners Outlook\SSYB\SSYB_Tables\"/>
    </mc:Choice>
  </mc:AlternateContent>
  <xr:revisionPtr revIDLastSave="0" documentId="13_ncr:1_{99B1F010-3C1E-49DD-9FCA-A0EBCA2DE4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ent" sheetId="4" r:id="rId1"/>
    <sheet name="Table24a" sheetId="7" r:id="rId2"/>
    <sheet name="Table24b" sheetId="6" r:id="rId3"/>
    <sheet name="Table56a" sheetId="5" r:id="rId4"/>
    <sheet name="Table56b" sheetId="8" r:id="rId5"/>
  </sheets>
  <definedNames>
    <definedName name="_xlnm.Print_Area" localSheetId="1">Table24a!$B$6:$O$60</definedName>
    <definedName name="_xlnm.Print_Area" localSheetId="2">Table24b!$A$1:$M$68</definedName>
    <definedName name="_xlnm.Print_Area" localSheetId="3">Table56a!$A$1:$S$37</definedName>
    <definedName name="_xlnm.Print_Area" localSheetId="4">Table56b!$A$1:$S$35</definedName>
    <definedName name="_xlnm.Print_Titles" localSheetId="1">Table24a!$A:$A,Table24a!$1:$5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7" l="1"/>
  <c r="Z24" i="7"/>
  <c r="Y21" i="7"/>
  <c r="Y18" i="7" s="1"/>
  <c r="Y28" i="7" s="1"/>
  <c r="Y23" i="7"/>
  <c r="X23" i="7"/>
  <c r="Y24" i="7"/>
  <c r="AE23" i="5"/>
  <c r="X24" i="7"/>
  <c r="Y41" i="7"/>
  <c r="W28" i="7"/>
  <c r="V30" i="7"/>
  <c r="V47" i="7" s="1"/>
  <c r="V41" i="7"/>
  <c r="Y25" i="6"/>
  <c r="Z25" i="6"/>
  <c r="Y26" i="6"/>
  <c r="Z26" i="6"/>
  <c r="W25" i="6"/>
  <c r="X25" i="6"/>
  <c r="W26" i="6"/>
  <c r="X26" i="6"/>
  <c r="U23" i="7"/>
  <c r="T23" i="7"/>
  <c r="W24" i="7"/>
  <c r="Z24" i="6" l="1"/>
  <c r="Y24" i="6"/>
  <c r="Z27" i="6" l="1"/>
  <c r="H24" i="6" l="1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AE32" i="8"/>
  <c r="AE21" i="8"/>
  <c r="AE18" i="8"/>
  <c r="AE17" i="8"/>
  <c r="AE16" i="8"/>
  <c r="AE11" i="8"/>
  <c r="AE10" i="8"/>
  <c r="AE8" i="8"/>
  <c r="Z51" i="6"/>
  <c r="Z45" i="6"/>
  <c r="Z44" i="6"/>
  <c r="Z43" i="6"/>
  <c r="Z39" i="6"/>
  <c r="Z38" i="6"/>
  <c r="Z37" i="6"/>
  <c r="Z33" i="6"/>
  <c r="Z32" i="6"/>
  <c r="Z31" i="6"/>
  <c r="Z30" i="6"/>
  <c r="Z22" i="6"/>
  <c r="Z20" i="6"/>
  <c r="Z19" i="6"/>
  <c r="Z16" i="6"/>
  <c r="Z15" i="6"/>
  <c r="Z14" i="6"/>
  <c r="Z13" i="6"/>
  <c r="Z12" i="6"/>
  <c r="Z10" i="6"/>
  <c r="AE22" i="5"/>
  <c r="AE19" i="5"/>
  <c r="AE25" i="5" s="1"/>
  <c r="AE9" i="5"/>
  <c r="Z41" i="7"/>
  <c r="Z41" i="6" s="1"/>
  <c r="Z36" i="7"/>
  <c r="Z36" i="6" s="1"/>
  <c r="Z11" i="7"/>
  <c r="Z9" i="7" s="1"/>
  <c r="Z9" i="6" s="1"/>
  <c r="T9" i="5"/>
  <c r="U9" i="5"/>
  <c r="V9" i="5"/>
  <c r="W9" i="5"/>
  <c r="X9" i="5"/>
  <c r="Y9" i="5"/>
  <c r="Z9" i="5"/>
  <c r="AA9" i="5"/>
  <c r="AB9" i="5"/>
  <c r="AC9" i="5"/>
  <c r="AD9" i="5"/>
  <c r="AD9" i="8" s="1"/>
  <c r="S9" i="5"/>
  <c r="T10" i="8"/>
  <c r="U10" i="8"/>
  <c r="V10" i="8"/>
  <c r="W10" i="8"/>
  <c r="X10" i="8"/>
  <c r="Y10" i="8"/>
  <c r="Z10" i="8"/>
  <c r="AA10" i="8"/>
  <c r="AB10" i="8"/>
  <c r="AC10" i="8"/>
  <c r="AD10" i="8"/>
  <c r="T11" i="8"/>
  <c r="U11" i="8"/>
  <c r="V11" i="8"/>
  <c r="W11" i="8"/>
  <c r="X11" i="8"/>
  <c r="Y11" i="8"/>
  <c r="Z11" i="8"/>
  <c r="AA11" i="8"/>
  <c r="AB11" i="8"/>
  <c r="AC11" i="8"/>
  <c r="AD11" i="8"/>
  <c r="M22" i="5"/>
  <c r="M22" i="8" s="1"/>
  <c r="N22" i="5"/>
  <c r="N22" i="8" s="1"/>
  <c r="O22" i="5"/>
  <c r="O22" i="8" s="1"/>
  <c r="P22" i="5"/>
  <c r="P23" i="5" s="1"/>
  <c r="P23" i="8" s="1"/>
  <c r="Q22" i="5"/>
  <c r="Q22" i="8" s="1"/>
  <c r="R22" i="5"/>
  <c r="R22" i="8" s="1"/>
  <c r="S22" i="5"/>
  <c r="T22" i="5"/>
  <c r="T22" i="8" s="1"/>
  <c r="U22" i="5"/>
  <c r="U22" i="8" s="1"/>
  <c r="V22" i="5"/>
  <c r="V22" i="8" s="1"/>
  <c r="W22" i="5"/>
  <c r="X22" i="5"/>
  <c r="Y22" i="5"/>
  <c r="Z22" i="5"/>
  <c r="AA22" i="5"/>
  <c r="AA23" i="5" s="1"/>
  <c r="AB22" i="5"/>
  <c r="AB23" i="5" s="1"/>
  <c r="AB23" i="8" s="1"/>
  <c r="AC22" i="5"/>
  <c r="AD22" i="5"/>
  <c r="AD23" i="5" s="1"/>
  <c r="P49" i="7"/>
  <c r="Y30" i="7"/>
  <c r="Y30" i="6" s="1"/>
  <c r="X11" i="7"/>
  <c r="X30" i="7"/>
  <c r="AD32" i="8"/>
  <c r="AD21" i="8"/>
  <c r="AD18" i="8"/>
  <c r="AD17" i="8"/>
  <c r="AD16" i="8"/>
  <c r="AD8" i="8"/>
  <c r="Y51" i="6"/>
  <c r="Y45" i="6"/>
  <c r="Y44" i="6"/>
  <c r="Y43" i="6"/>
  <c r="Y39" i="6"/>
  <c r="Y38" i="6"/>
  <c r="Y37" i="6"/>
  <c r="Y33" i="6"/>
  <c r="Y32" i="6"/>
  <c r="Y31" i="6"/>
  <c r="Y22" i="6"/>
  <c r="Y20" i="6"/>
  <c r="Y19" i="6"/>
  <c r="Y16" i="6"/>
  <c r="Y15" i="6"/>
  <c r="Y14" i="6"/>
  <c r="Y13" i="6"/>
  <c r="Y12" i="6"/>
  <c r="Y10" i="6"/>
  <c r="AD19" i="5"/>
  <c r="AD25" i="5" s="1"/>
  <c r="Y36" i="7"/>
  <c r="Y36" i="6" s="1"/>
  <c r="Y11" i="7"/>
  <c r="Y9" i="7" s="1"/>
  <c r="Y9" i="6" s="1"/>
  <c r="AE19" i="8" l="1"/>
  <c r="AE22" i="8"/>
  <c r="AE23" i="8"/>
  <c r="Z11" i="6"/>
  <c r="AE9" i="8"/>
  <c r="AE25" i="8"/>
  <c r="AD22" i="8"/>
  <c r="Z47" i="7"/>
  <c r="Z47" i="6" s="1"/>
  <c r="M23" i="5"/>
  <c r="M23" i="8" s="1"/>
  <c r="V23" i="5"/>
  <c r="V23" i="8" s="1"/>
  <c r="U23" i="5"/>
  <c r="U23" i="8" s="1"/>
  <c r="AB22" i="8"/>
  <c r="R23" i="5"/>
  <c r="R23" i="8" s="1"/>
  <c r="S22" i="8"/>
  <c r="S23" i="5"/>
  <c r="S23" i="8" s="1"/>
  <c r="P22" i="8"/>
  <c r="Y23" i="5"/>
  <c r="AA23" i="8"/>
  <c r="AC23" i="5"/>
  <c r="Q23" i="5"/>
  <c r="Q23" i="8" s="1"/>
  <c r="AC22" i="8"/>
  <c r="O23" i="5"/>
  <c r="O23" i="8" s="1"/>
  <c r="AA22" i="8"/>
  <c r="Z23" i="5"/>
  <c r="N23" i="5"/>
  <c r="N23" i="8" s="1"/>
  <c r="Z22" i="8"/>
  <c r="Y22" i="8"/>
  <c r="X23" i="5"/>
  <c r="X22" i="8"/>
  <c r="W23" i="5"/>
  <c r="W22" i="8"/>
  <c r="T23" i="5"/>
  <c r="Y47" i="7"/>
  <c r="Y47" i="6" s="1"/>
  <c r="Y41" i="6"/>
  <c r="AD19" i="8"/>
  <c r="AD25" i="8" s="1"/>
  <c r="Y11" i="6"/>
  <c r="AD23" i="8" l="1"/>
  <c r="Y23" i="8"/>
  <c r="T23" i="8"/>
  <c r="W23" i="8"/>
  <c r="X23" i="8"/>
  <c r="AC23" i="8"/>
  <c r="Z23" i="8"/>
  <c r="W30" i="7"/>
  <c r="W41" i="7"/>
  <c r="V36" i="7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W11" i="7"/>
  <c r="O23" i="7"/>
  <c r="O23" i="6" s="1"/>
  <c r="I23" i="7"/>
  <c r="I23" i="6" s="1"/>
  <c r="H23" i="7"/>
  <c r="H23" i="6" s="1"/>
  <c r="AC32" i="8" l="1"/>
  <c r="AC21" i="8"/>
  <c r="AC17" i="8"/>
  <c r="AC16" i="8"/>
  <c r="AC9" i="8"/>
  <c r="AC8" i="8"/>
  <c r="X51" i="6"/>
  <c r="X45" i="6"/>
  <c r="X44" i="6"/>
  <c r="X43" i="6"/>
  <c r="X38" i="6"/>
  <c r="X37" i="6"/>
  <c r="X33" i="6"/>
  <c r="X32" i="6"/>
  <c r="X31" i="6"/>
  <c r="X30" i="6"/>
  <c r="X20" i="6"/>
  <c r="X19" i="6"/>
  <c r="X16" i="6"/>
  <c r="X15" i="6"/>
  <c r="X14" i="6"/>
  <c r="X13" i="6"/>
  <c r="X12" i="6"/>
  <c r="X10" i="6"/>
  <c r="X41" i="7"/>
  <c r="X9" i="7"/>
  <c r="X9" i="6" s="1"/>
  <c r="N44" i="7"/>
  <c r="N41" i="7" s="1"/>
  <c r="M44" i="7"/>
  <c r="M41" i="7" s="1"/>
  <c r="L44" i="7"/>
  <c r="L41" i="7" s="1"/>
  <c r="K44" i="7"/>
  <c r="K41" i="7" s="1"/>
  <c r="J44" i="7"/>
  <c r="I44" i="7"/>
  <c r="H44" i="7"/>
  <c r="H41" i="7" s="1"/>
  <c r="G44" i="7"/>
  <c r="G41" i="7" s="1"/>
  <c r="F44" i="7"/>
  <c r="F41" i="7" s="1"/>
  <c r="E44" i="7"/>
  <c r="E41" i="7" s="1"/>
  <c r="D44" i="7"/>
  <c r="D41" i="7" s="1"/>
  <c r="C44" i="7"/>
  <c r="C41" i="7" s="1"/>
  <c r="B44" i="7"/>
  <c r="B41" i="7" s="1"/>
  <c r="U41" i="7"/>
  <c r="T41" i="7"/>
  <c r="S41" i="7"/>
  <c r="R41" i="7"/>
  <c r="Q41" i="7"/>
  <c r="P41" i="7"/>
  <c r="O41" i="7"/>
  <c r="U36" i="7"/>
  <c r="T36" i="7"/>
  <c r="S36" i="7"/>
  <c r="R36" i="7"/>
  <c r="Q36" i="7"/>
  <c r="P36" i="7"/>
  <c r="O36" i="7"/>
  <c r="O30" i="7"/>
  <c r="M30" i="7"/>
  <c r="L30" i="7"/>
  <c r="K30" i="7"/>
  <c r="J30" i="7"/>
  <c r="I30" i="7"/>
  <c r="H30" i="7"/>
  <c r="G30" i="7"/>
  <c r="F30" i="7"/>
  <c r="E30" i="7"/>
  <c r="D30" i="7"/>
  <c r="C30" i="7"/>
  <c r="B30" i="7"/>
  <c r="S21" i="7"/>
  <c r="R21" i="7"/>
  <c r="R23" i="7" s="1"/>
  <c r="R23" i="6" s="1"/>
  <c r="Q21" i="7"/>
  <c r="P21" i="7"/>
  <c r="N21" i="7"/>
  <c r="M21" i="7"/>
  <c r="L21" i="7"/>
  <c r="K21" i="7"/>
  <c r="K23" i="7" s="1"/>
  <c r="K23" i="6" s="1"/>
  <c r="J21" i="7"/>
  <c r="G21" i="7"/>
  <c r="G18" i="7" s="1"/>
  <c r="D21" i="7"/>
  <c r="D18" i="7" s="1"/>
  <c r="C21" i="7"/>
  <c r="C18" i="7" s="1"/>
  <c r="B21" i="7"/>
  <c r="B18" i="7" s="1"/>
  <c r="O18" i="7"/>
  <c r="I18" i="7"/>
  <c r="H18" i="7"/>
  <c r="F18" i="7"/>
  <c r="E18" i="7"/>
  <c r="W9" i="7"/>
  <c r="V11" i="7"/>
  <c r="V9" i="7" s="1"/>
  <c r="U11" i="7"/>
  <c r="U9" i="7" s="1"/>
  <c r="T11" i="7"/>
  <c r="T9" i="7" s="1"/>
  <c r="S11" i="7"/>
  <c r="S9" i="7" s="1"/>
  <c r="R11" i="7"/>
  <c r="R9" i="7" s="1"/>
  <c r="Q11" i="7"/>
  <c r="Q9" i="7" s="1"/>
  <c r="P11" i="7"/>
  <c r="P9" i="7" s="1"/>
  <c r="O11" i="7"/>
  <c r="O9" i="7" s="1"/>
  <c r="N11" i="7"/>
  <c r="N9" i="7" s="1"/>
  <c r="M11" i="7"/>
  <c r="M9" i="7" s="1"/>
  <c r="L11" i="7"/>
  <c r="L9" i="7" s="1"/>
  <c r="K11" i="7"/>
  <c r="K9" i="7" s="1"/>
  <c r="J11" i="7"/>
  <c r="J9" i="7" s="1"/>
  <c r="I11" i="7"/>
  <c r="I9" i="7" s="1"/>
  <c r="H11" i="7"/>
  <c r="H9" i="7" s="1"/>
  <c r="G11" i="7"/>
  <c r="G9" i="7" s="1"/>
  <c r="F11" i="7"/>
  <c r="F9" i="7" s="1"/>
  <c r="E11" i="7"/>
  <c r="E9" i="7" s="1"/>
  <c r="D11" i="7"/>
  <c r="D9" i="7" s="1"/>
  <c r="C11" i="7"/>
  <c r="C9" i="7" s="1"/>
  <c r="B11" i="7"/>
  <c r="B9" i="7" s="1"/>
  <c r="R18" i="7" l="1"/>
  <c r="J18" i="7"/>
  <c r="J28" i="7" s="1"/>
  <c r="J23" i="7"/>
  <c r="J23" i="6" s="1"/>
  <c r="M18" i="7"/>
  <c r="M23" i="7"/>
  <c r="M23" i="6" s="1"/>
  <c r="N18" i="7"/>
  <c r="N28" i="7" s="1"/>
  <c r="N23" i="7"/>
  <c r="N23" i="6" s="1"/>
  <c r="P18" i="7"/>
  <c r="P28" i="7" s="1"/>
  <c r="P23" i="7"/>
  <c r="P23" i="6" s="1"/>
  <c r="Q18" i="7"/>
  <c r="Q23" i="7"/>
  <c r="Q23" i="6" s="1"/>
  <c r="L18" i="7"/>
  <c r="L28" i="7" s="1"/>
  <c r="L23" i="7"/>
  <c r="L23" i="6" s="1"/>
  <c r="K18" i="7"/>
  <c r="K28" i="7" s="1"/>
  <c r="S18" i="7"/>
  <c r="S23" i="7"/>
  <c r="S23" i="6" s="1"/>
  <c r="Q47" i="7"/>
  <c r="X41" i="6"/>
  <c r="M28" i="7"/>
  <c r="R47" i="7"/>
  <c r="T47" i="7"/>
  <c r="D28" i="7"/>
  <c r="E28" i="7"/>
  <c r="F28" i="7"/>
  <c r="X11" i="6"/>
  <c r="C28" i="7"/>
  <c r="O47" i="7"/>
  <c r="I28" i="7"/>
  <c r="P47" i="7"/>
  <c r="G28" i="7"/>
  <c r="S47" i="7"/>
  <c r="H28" i="7"/>
  <c r="U47" i="7"/>
  <c r="B28" i="7"/>
  <c r="Q7" i="7" l="1"/>
  <c r="P54" i="7"/>
  <c r="Q28" i="7" l="1"/>
  <c r="Q49" i="7" l="1"/>
  <c r="Q54" i="7" s="1"/>
  <c r="Q50" i="7"/>
  <c r="R7" i="7" l="1"/>
  <c r="R28" i="7" s="1"/>
  <c r="R50" i="7" s="1"/>
  <c r="R49" i="7" s="1"/>
  <c r="S7" i="7" l="1"/>
  <c r="S28" i="7" s="1"/>
  <c r="S28" i="6" s="1"/>
  <c r="R54" i="7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R50" i="6"/>
  <c r="Q50" i="6"/>
  <c r="P50" i="6"/>
  <c r="R49" i="6"/>
  <c r="Q49" i="6"/>
  <c r="P49" i="6"/>
  <c r="V47" i="6"/>
  <c r="U47" i="6"/>
  <c r="T47" i="6"/>
  <c r="S47" i="6"/>
  <c r="R47" i="6"/>
  <c r="Q47" i="6"/>
  <c r="P47" i="6"/>
  <c r="O47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H45" i="6"/>
  <c r="G45" i="6"/>
  <c r="F45" i="6"/>
  <c r="E45" i="6"/>
  <c r="D45" i="6"/>
  <c r="C45" i="6"/>
  <c r="B45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H41" i="6"/>
  <c r="G41" i="6"/>
  <c r="F41" i="6"/>
  <c r="E41" i="6"/>
  <c r="D41" i="6"/>
  <c r="C41" i="6"/>
  <c r="B41" i="6"/>
  <c r="V39" i="6"/>
  <c r="U39" i="6"/>
  <c r="T39" i="6"/>
  <c r="S39" i="6"/>
  <c r="R39" i="6"/>
  <c r="Q39" i="6"/>
  <c r="P39" i="6"/>
  <c r="O39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W37" i="6"/>
  <c r="V37" i="6"/>
  <c r="U37" i="6"/>
  <c r="T37" i="6"/>
  <c r="S37" i="6"/>
  <c r="R37" i="6"/>
  <c r="Q37" i="6"/>
  <c r="P37" i="6"/>
  <c r="O37" i="6"/>
  <c r="M37" i="6"/>
  <c r="L37" i="6"/>
  <c r="K37" i="6"/>
  <c r="J37" i="6"/>
  <c r="I37" i="6"/>
  <c r="H37" i="6"/>
  <c r="G37" i="6"/>
  <c r="F37" i="6"/>
  <c r="E37" i="6"/>
  <c r="D37" i="6"/>
  <c r="C37" i="6"/>
  <c r="B37" i="6"/>
  <c r="V36" i="6"/>
  <c r="U36" i="6"/>
  <c r="T36" i="6"/>
  <c r="S36" i="6"/>
  <c r="R36" i="6"/>
  <c r="Q36" i="6"/>
  <c r="P36" i="6"/>
  <c r="O36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R28" i="6"/>
  <c r="Q28" i="6"/>
  <c r="P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H22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R7" i="6"/>
  <c r="Q7" i="6"/>
  <c r="P7" i="6"/>
  <c r="N7" i="6"/>
  <c r="M7" i="6"/>
  <c r="L7" i="6"/>
  <c r="K7" i="6"/>
  <c r="J7" i="6"/>
  <c r="I7" i="6"/>
  <c r="H7" i="6"/>
  <c r="G7" i="6"/>
  <c r="F7" i="6"/>
  <c r="E7" i="6"/>
  <c r="D7" i="6"/>
  <c r="C7" i="6"/>
  <c r="B7" i="6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B32" i="8"/>
  <c r="Q30" i="5"/>
  <c r="R30" i="5"/>
  <c r="S30" i="5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B21" i="8"/>
  <c r="B17" i="8"/>
  <c r="B16" i="8"/>
  <c r="B8" i="8"/>
  <c r="B9" i="8"/>
  <c r="B7" i="8"/>
  <c r="S7" i="6" l="1"/>
  <c r="S50" i="7"/>
  <c r="S50" i="6" s="1"/>
  <c r="M19" i="8"/>
  <c r="M25" i="8" s="1"/>
  <c r="L19" i="8"/>
  <c r="L25" i="8" s="1"/>
  <c r="U19" i="8"/>
  <c r="R13" i="8"/>
  <c r="F13" i="8"/>
  <c r="S19" i="8"/>
  <c r="S25" i="8" s="1"/>
  <c r="N13" i="8"/>
  <c r="H19" i="8"/>
  <c r="H25" i="8" s="1"/>
  <c r="I19" i="8"/>
  <c r="I25" i="8" s="1"/>
  <c r="Z13" i="8"/>
  <c r="Y13" i="8"/>
  <c r="M13" i="8"/>
  <c r="E13" i="8"/>
  <c r="Z19" i="8"/>
  <c r="Z25" i="8" s="1"/>
  <c r="N19" i="8"/>
  <c r="N25" i="8" s="1"/>
  <c r="Y19" i="8"/>
  <c r="Y25" i="8" s="1"/>
  <c r="Q13" i="8"/>
  <c r="V19" i="8"/>
  <c r="V25" i="8" s="1"/>
  <c r="J19" i="8"/>
  <c r="J25" i="8" s="1"/>
  <c r="X19" i="8"/>
  <c r="X25" i="8" s="1"/>
  <c r="P13" i="8"/>
  <c r="D13" i="8"/>
  <c r="AA13" i="8"/>
  <c r="O13" i="8"/>
  <c r="C13" i="8"/>
  <c r="W19" i="8"/>
  <c r="W25" i="8" s="1"/>
  <c r="K19" i="8"/>
  <c r="K25" i="8" s="1"/>
  <c r="B19" i="8"/>
  <c r="B25" i="8" s="1"/>
  <c r="X13" i="8"/>
  <c r="L13" i="8"/>
  <c r="U13" i="8"/>
  <c r="I13" i="8"/>
  <c r="W13" i="8"/>
  <c r="K13" i="8"/>
  <c r="G19" i="8"/>
  <c r="G25" i="8" s="1"/>
  <c r="V13" i="8"/>
  <c r="J13" i="8"/>
  <c r="R19" i="8"/>
  <c r="R25" i="8" s="1"/>
  <c r="F19" i="8"/>
  <c r="F25" i="8" s="1"/>
  <c r="T19" i="8"/>
  <c r="T25" i="8" s="1"/>
  <c r="Q19" i="8"/>
  <c r="Q25" i="8" s="1"/>
  <c r="E19" i="8"/>
  <c r="E25" i="8" s="1"/>
  <c r="T13" i="8"/>
  <c r="H13" i="8"/>
  <c r="P19" i="8"/>
  <c r="D19" i="8"/>
  <c r="D25" i="8" s="1"/>
  <c r="S13" i="8"/>
  <c r="G13" i="8"/>
  <c r="AA19" i="8"/>
  <c r="AA25" i="8" s="1"/>
  <c r="O19" i="8"/>
  <c r="O25" i="8" s="1"/>
  <c r="C19" i="8"/>
  <c r="C25" i="8" s="1"/>
  <c r="U25" i="8"/>
  <c r="B13" i="8"/>
  <c r="S49" i="7" l="1"/>
  <c r="V27" i="8"/>
  <c r="V31" i="8" s="1"/>
  <c r="S27" i="8"/>
  <c r="S31" i="8" s="1"/>
  <c r="O27" i="8"/>
  <c r="O31" i="8" s="1"/>
  <c r="R27" i="8"/>
  <c r="R31" i="8" s="1"/>
  <c r="R30" i="8"/>
  <c r="T27" i="8"/>
  <c r="U27" i="8"/>
  <c r="Q27" i="8"/>
  <c r="P25" i="8"/>
  <c r="P27" i="8" s="1"/>
  <c r="B27" i="8"/>
  <c r="S54" i="7" l="1"/>
  <c r="T7" i="7"/>
  <c r="T7" i="6" s="1"/>
  <c r="S49" i="6"/>
  <c r="S30" i="8"/>
  <c r="O30" i="8"/>
  <c r="V30" i="8"/>
  <c r="P31" i="8"/>
  <c r="P30" i="8"/>
  <c r="U31" i="8"/>
  <c r="U30" i="8"/>
  <c r="Q30" i="8"/>
  <c r="Q31" i="8"/>
  <c r="T31" i="8"/>
  <c r="T30" i="8"/>
  <c r="B31" i="8"/>
  <c r="B30" i="8"/>
  <c r="C27" i="8"/>
  <c r="D27" i="8"/>
  <c r="X27" i="8"/>
  <c r="W27" i="8"/>
  <c r="S54" i="6"/>
  <c r="AA19" i="5"/>
  <c r="AA25" i="5" s="1"/>
  <c r="Z19" i="5"/>
  <c r="Z25" i="5" s="1"/>
  <c r="Y19" i="5"/>
  <c r="Y25" i="5" s="1"/>
  <c r="X19" i="5"/>
  <c r="X25" i="5" s="1"/>
  <c r="W19" i="5"/>
  <c r="W25" i="5" s="1"/>
  <c r="V19" i="5"/>
  <c r="V25" i="5" s="1"/>
  <c r="U19" i="5"/>
  <c r="U25" i="5" s="1"/>
  <c r="T19" i="5"/>
  <c r="T25" i="5" s="1"/>
  <c r="S19" i="5"/>
  <c r="S25" i="5" s="1"/>
  <c r="S31" i="5" s="1"/>
  <c r="Q19" i="5"/>
  <c r="Q25" i="5" s="1"/>
  <c r="Q31" i="5" s="1"/>
  <c r="P19" i="5"/>
  <c r="P25" i="5" s="1"/>
  <c r="O19" i="5"/>
  <c r="O25" i="5" s="1"/>
  <c r="M19" i="5"/>
  <c r="L19" i="5"/>
  <c r="L25" i="5" s="1"/>
  <c r="N19" i="5"/>
  <c r="K19" i="5"/>
  <c r="J19" i="5"/>
  <c r="J25" i="5" s="1"/>
  <c r="H19" i="5"/>
  <c r="G19" i="5"/>
  <c r="G25" i="5" s="1"/>
  <c r="F19" i="5"/>
  <c r="F25" i="5" s="1"/>
  <c r="E19" i="5"/>
  <c r="E25" i="5" s="1"/>
  <c r="D19" i="5"/>
  <c r="D25" i="5" s="1"/>
  <c r="B19" i="5"/>
  <c r="V13" i="5"/>
  <c r="U13" i="5"/>
  <c r="T13" i="5"/>
  <c r="R13" i="5"/>
  <c r="Q13" i="5"/>
  <c r="P13" i="5"/>
  <c r="O13" i="5"/>
  <c r="C31" i="8" l="1"/>
  <c r="C30" i="8"/>
  <c r="D31" i="8"/>
  <c r="D30" i="8"/>
  <c r="W31" i="8"/>
  <c r="W30" i="8"/>
  <c r="X31" i="8"/>
  <c r="X30" i="8"/>
  <c r="P27" i="5"/>
  <c r="Y27" i="8"/>
  <c r="E27" i="8"/>
  <c r="H25" i="5"/>
  <c r="R19" i="5"/>
  <c r="R25" i="5" s="1"/>
  <c r="R31" i="5" s="1"/>
  <c r="S13" i="5"/>
  <c r="K25" i="5"/>
  <c r="B25" i="5"/>
  <c r="N25" i="5"/>
  <c r="C19" i="5"/>
  <c r="C25" i="5" s="1"/>
  <c r="U27" i="5"/>
  <c r="V27" i="5"/>
  <c r="M25" i="5"/>
  <c r="B13" i="5"/>
  <c r="O27" i="5"/>
  <c r="I19" i="5"/>
  <c r="I25" i="5" s="1"/>
  <c r="R54" i="6"/>
  <c r="P54" i="6"/>
  <c r="Q54" i="6"/>
  <c r="T27" i="5"/>
  <c r="Y31" i="8" l="1"/>
  <c r="Y30" i="8"/>
  <c r="E30" i="8"/>
  <c r="E31" i="8"/>
  <c r="T30" i="5"/>
  <c r="T31" i="5"/>
  <c r="O30" i="5"/>
  <c r="O31" i="5"/>
  <c r="V30" i="5"/>
  <c r="V31" i="5"/>
  <c r="U30" i="5"/>
  <c r="U31" i="5"/>
  <c r="P30" i="5"/>
  <c r="P31" i="5"/>
  <c r="F27" i="8"/>
  <c r="Z27" i="8"/>
  <c r="B27" i="5"/>
  <c r="W13" i="5"/>
  <c r="W27" i="5" s="1"/>
  <c r="Z31" i="8" l="1"/>
  <c r="Z30" i="8"/>
  <c r="F30" i="8"/>
  <c r="F31" i="8"/>
  <c r="W31" i="5"/>
  <c r="W30" i="5"/>
  <c r="C13" i="5"/>
  <c r="C27" i="5" s="1"/>
  <c r="B31" i="5"/>
  <c r="B30" i="5"/>
  <c r="G27" i="8"/>
  <c r="AA27" i="8"/>
  <c r="AA31" i="8" l="1"/>
  <c r="AA30" i="8"/>
  <c r="G31" i="8"/>
  <c r="G30" i="8"/>
  <c r="D13" i="5"/>
  <c r="D27" i="5" s="1"/>
  <c r="C30" i="5"/>
  <c r="C31" i="5"/>
  <c r="H27" i="8"/>
  <c r="X13" i="5"/>
  <c r="X27" i="5" s="1"/>
  <c r="H31" i="8" l="1"/>
  <c r="H30" i="8"/>
  <c r="X31" i="5"/>
  <c r="X30" i="5"/>
  <c r="E13" i="5"/>
  <c r="E27" i="5" s="1"/>
  <c r="D30" i="5"/>
  <c r="D31" i="5"/>
  <c r="I27" i="8"/>
  <c r="I30" i="8" l="1"/>
  <c r="I31" i="8"/>
  <c r="F13" i="5"/>
  <c r="F27" i="5" s="1"/>
  <c r="E30" i="5"/>
  <c r="E31" i="5"/>
  <c r="J27" i="8"/>
  <c r="Y13" i="5"/>
  <c r="Y27" i="5" s="1"/>
  <c r="J31" i="8" l="1"/>
  <c r="J30" i="8"/>
  <c r="Y31" i="5"/>
  <c r="Y30" i="5"/>
  <c r="G13" i="5"/>
  <c r="G27" i="5" s="1"/>
  <c r="F30" i="5"/>
  <c r="F31" i="5"/>
  <c r="K27" i="8"/>
  <c r="K31" i="8" l="1"/>
  <c r="K30" i="8"/>
  <c r="H13" i="5"/>
  <c r="H27" i="5" s="1"/>
  <c r="G30" i="5"/>
  <c r="G31" i="5"/>
  <c r="L27" i="8"/>
  <c r="Z13" i="5"/>
  <c r="Z27" i="5" s="1"/>
  <c r="L31" i="8" l="1"/>
  <c r="L30" i="8"/>
  <c r="Z31" i="5"/>
  <c r="Z30" i="5"/>
  <c r="I13" i="5"/>
  <c r="I27" i="5" s="1"/>
  <c r="H30" i="5"/>
  <c r="H31" i="5"/>
  <c r="M27" i="8"/>
  <c r="M31" i="8" l="1"/>
  <c r="M30" i="8"/>
  <c r="J13" i="5"/>
  <c r="J27" i="5" s="1"/>
  <c r="I30" i="5"/>
  <c r="I31" i="5"/>
  <c r="AA13" i="5"/>
  <c r="AA27" i="5" l="1"/>
  <c r="AB7" i="5" s="1"/>
  <c r="AB7" i="8" s="1"/>
  <c r="AB13" i="8" s="1"/>
  <c r="AA30" i="5"/>
  <c r="AA31" i="5"/>
  <c r="K13" i="5"/>
  <c r="K27" i="5" s="1"/>
  <c r="J30" i="5"/>
  <c r="J31" i="5"/>
  <c r="N27" i="8"/>
  <c r="N31" i="8" l="1"/>
  <c r="N30" i="8"/>
  <c r="L13" i="5"/>
  <c r="L27" i="5" s="1"/>
  <c r="K30" i="5"/>
  <c r="K31" i="5"/>
  <c r="AB13" i="5"/>
  <c r="AB18" i="5" s="1"/>
  <c r="AC7" i="5" l="1"/>
  <c r="AC13" i="5" s="1"/>
  <c r="AC7" i="8"/>
  <c r="AC13" i="8" s="1"/>
  <c r="AB30" i="5"/>
  <c r="M13" i="5"/>
  <c r="M27" i="5" s="1"/>
  <c r="L31" i="5"/>
  <c r="L30" i="5"/>
  <c r="AB18" i="8" l="1"/>
  <c r="AB19" i="8" s="1"/>
  <c r="AB25" i="8" s="1"/>
  <c r="AB27" i="8" s="1"/>
  <c r="AB19" i="5"/>
  <c r="AB25" i="5" s="1"/>
  <c r="AB31" i="5" s="1"/>
  <c r="N13" i="5"/>
  <c r="N27" i="5" s="1"/>
  <c r="M31" i="5"/>
  <c r="M30" i="5"/>
  <c r="AB30" i="8" l="1"/>
  <c r="AB31" i="8"/>
  <c r="N31" i="5"/>
  <c r="N30" i="5"/>
  <c r="W36" i="7" l="1"/>
  <c r="W47" i="7" l="1"/>
  <c r="W36" i="6"/>
  <c r="W39" i="6"/>
  <c r="W47" i="6" l="1"/>
  <c r="X39" i="6" l="1"/>
  <c r="X36" i="7"/>
  <c r="X47" i="7" s="1"/>
  <c r="X36" i="6" l="1"/>
  <c r="X47" i="6"/>
  <c r="C50" i="6" l="1"/>
  <c r="G50" i="6"/>
  <c r="M50" i="6"/>
  <c r="K50" i="6"/>
  <c r="J50" i="6"/>
  <c r="B50" i="6"/>
  <c r="G49" i="7"/>
  <c r="G39" i="7" s="1"/>
  <c r="G36" i="7" s="1"/>
  <c r="H50" i="6"/>
  <c r="N50" i="6"/>
  <c r="D50" i="6"/>
  <c r="D49" i="7"/>
  <c r="D49" i="6" s="1"/>
  <c r="I50" i="6"/>
  <c r="L49" i="7"/>
  <c r="L39" i="7" s="1"/>
  <c r="L39" i="6" s="1"/>
  <c r="L50" i="6"/>
  <c r="C49" i="7"/>
  <c r="C49" i="6" s="1"/>
  <c r="F49" i="7"/>
  <c r="F39" i="7" s="1"/>
  <c r="F36" i="7" s="1"/>
  <c r="F50" i="6"/>
  <c r="H49" i="7"/>
  <c r="H49" i="6" s="1"/>
  <c r="O49" i="7"/>
  <c r="O54" i="7" s="1"/>
  <c r="B49" i="7"/>
  <c r="J49" i="7"/>
  <c r="J45" i="7" s="1"/>
  <c r="J41" i="7" s="1"/>
  <c r="O50" i="6"/>
  <c r="I49" i="7"/>
  <c r="K49" i="7"/>
  <c r="K39" i="7" s="1"/>
  <c r="E50" i="6"/>
  <c r="E49" i="7"/>
  <c r="E49" i="6" s="1"/>
  <c r="N49" i="7"/>
  <c r="N39" i="7" s="1"/>
  <c r="M49" i="7"/>
  <c r="M49" i="6" s="1"/>
  <c r="E39" i="7" l="1"/>
  <c r="E36" i="7" s="1"/>
  <c r="E47" i="7" s="1"/>
  <c r="E54" i="7" s="1"/>
  <c r="G49" i="6"/>
  <c r="H39" i="7"/>
  <c r="H39" i="6" s="1"/>
  <c r="M39" i="7"/>
  <c r="M39" i="6" s="1"/>
  <c r="O49" i="6"/>
  <c r="O54" i="6" s="1"/>
  <c r="E39" i="6"/>
  <c r="L49" i="6"/>
  <c r="C39" i="7"/>
  <c r="N36" i="7"/>
  <c r="N39" i="6"/>
  <c r="F36" i="6"/>
  <c r="F47" i="7"/>
  <c r="F54" i="7" s="1"/>
  <c r="J39" i="7"/>
  <c r="J41" i="6"/>
  <c r="K36" i="7"/>
  <c r="K39" i="6"/>
  <c r="G36" i="6"/>
  <c r="G47" i="7"/>
  <c r="G54" i="7" s="1"/>
  <c r="B49" i="6"/>
  <c r="D39" i="7"/>
  <c r="G39" i="6"/>
  <c r="I49" i="6"/>
  <c r="O7" i="7"/>
  <c r="L36" i="7"/>
  <c r="K49" i="6"/>
  <c r="F49" i="6"/>
  <c r="N49" i="6"/>
  <c r="N47" i="7"/>
  <c r="N54" i="7" s="1"/>
  <c r="B39" i="7"/>
  <c r="J45" i="6"/>
  <c r="F39" i="6"/>
  <c r="J49" i="6"/>
  <c r="I45" i="7"/>
  <c r="M36" i="7" l="1"/>
  <c r="E36" i="6"/>
  <c r="H36" i="7"/>
  <c r="H36" i="6" s="1"/>
  <c r="C39" i="6"/>
  <c r="C36" i="7"/>
  <c r="J36" i="7"/>
  <c r="J39" i="6"/>
  <c r="M47" i="7"/>
  <c r="M36" i="6"/>
  <c r="O28" i="7"/>
  <c r="O7" i="6"/>
  <c r="B36" i="7"/>
  <c r="B39" i="6"/>
  <c r="K36" i="6"/>
  <c r="K47" i="7"/>
  <c r="H47" i="7"/>
  <c r="F47" i="6"/>
  <c r="F54" i="6" s="1"/>
  <c r="D39" i="6"/>
  <c r="D36" i="7"/>
  <c r="N36" i="6"/>
  <c r="G47" i="6"/>
  <c r="G54" i="6" s="1"/>
  <c r="N47" i="6"/>
  <c r="N54" i="6" s="1"/>
  <c r="I45" i="6"/>
  <c r="I41" i="7"/>
  <c r="L36" i="6"/>
  <c r="L47" i="7"/>
  <c r="E47" i="6"/>
  <c r="E54" i="6" s="1"/>
  <c r="C47" i="7" l="1"/>
  <c r="C36" i="6"/>
  <c r="O28" i="6"/>
  <c r="B47" i="7"/>
  <c r="B36" i="6"/>
  <c r="M47" i="6"/>
  <c r="M54" i="6" s="1"/>
  <c r="M54" i="7"/>
  <c r="K54" i="7"/>
  <c r="K47" i="6"/>
  <c r="K54" i="6" s="1"/>
  <c r="H47" i="6"/>
  <c r="H54" i="6" s="1"/>
  <c r="H54" i="7"/>
  <c r="L54" i="7"/>
  <c r="L47" i="6"/>
  <c r="L54" i="6" s="1"/>
  <c r="J36" i="6"/>
  <c r="J47" i="7"/>
  <c r="D47" i="7"/>
  <c r="D36" i="6"/>
  <c r="I41" i="6"/>
  <c r="I39" i="7"/>
  <c r="C54" i="7" l="1"/>
  <c r="C47" i="6"/>
  <c r="C54" i="6" s="1"/>
  <c r="J47" i="6"/>
  <c r="J54" i="6" s="1"/>
  <c r="J54" i="7"/>
  <c r="I39" i="6"/>
  <c r="I36" i="7"/>
  <c r="B47" i="6"/>
  <c r="B54" i="6" s="1"/>
  <c r="B54" i="7"/>
  <c r="D54" i="7"/>
  <c r="D47" i="6"/>
  <c r="D54" i="6" s="1"/>
  <c r="I36" i="6" l="1"/>
  <c r="I47" i="7"/>
  <c r="I47" i="6" l="1"/>
  <c r="I54" i="6" s="1"/>
  <c r="I54" i="7"/>
  <c r="U18" i="7" l="1"/>
  <c r="U18" i="6" s="1"/>
  <c r="T18" i="7"/>
  <c r="T18" i="6" s="1"/>
  <c r="T28" i="7"/>
  <c r="T21" i="6"/>
  <c r="U21" i="6"/>
  <c r="T23" i="6"/>
  <c r="U23" i="6"/>
  <c r="W18" i="7"/>
  <c r="W18" i="6" s="1"/>
  <c r="W23" i="7"/>
  <c r="W23" i="6" s="1"/>
  <c r="W21" i="6"/>
  <c r="Y21" i="6"/>
  <c r="Y27" i="6"/>
  <c r="Y18" i="6"/>
  <c r="T28" i="6" l="1"/>
  <c r="T50" i="7"/>
  <c r="Y23" i="6"/>
  <c r="T50" i="6" l="1"/>
  <c r="T49" i="7"/>
  <c r="T49" i="6" l="1"/>
  <c r="T54" i="6" s="1"/>
  <c r="U7" i="7"/>
  <c r="T54" i="7"/>
  <c r="U7" i="6" l="1"/>
  <c r="U28" i="7"/>
  <c r="U28" i="6" l="1"/>
  <c r="U50" i="7"/>
  <c r="U50" i="6" l="1"/>
  <c r="U49" i="7"/>
  <c r="X21" i="6"/>
  <c r="X23" i="6"/>
  <c r="X18" i="7"/>
  <c r="X18" i="6" s="1"/>
  <c r="V18" i="7"/>
  <c r="V18" i="6" s="1"/>
  <c r="V23" i="6"/>
  <c r="V23" i="7"/>
  <c r="V21" i="6"/>
  <c r="V7" i="7" l="1"/>
  <c r="V7" i="6" s="1"/>
  <c r="U49" i="6"/>
  <c r="U54" i="6" s="1"/>
  <c r="U54" i="7"/>
  <c r="V28" i="7"/>
  <c r="V28" i="6" l="1"/>
  <c r="V50" i="7"/>
  <c r="V49" i="7" l="1"/>
  <c r="V50" i="6"/>
  <c r="W7" i="7" l="1"/>
  <c r="V49" i="6"/>
  <c r="V54" i="6" s="1"/>
  <c r="V54" i="7"/>
  <c r="W7" i="6" l="1"/>
  <c r="W28" i="6" l="1"/>
  <c r="W49" i="7" l="1"/>
  <c r="X7" i="7" s="1"/>
  <c r="W50" i="6"/>
  <c r="W49" i="6" l="1"/>
  <c r="W54" i="6" s="1"/>
  <c r="W54" i="7"/>
  <c r="X7" i="6" l="1"/>
  <c r="X28" i="7"/>
  <c r="X28" i="6" l="1"/>
  <c r="X50" i="7"/>
  <c r="X49" i="7" l="1"/>
  <c r="X50" i="6"/>
  <c r="Y7" i="7" l="1"/>
  <c r="X54" i="7"/>
  <c r="X49" i="6"/>
  <c r="X54" i="6" s="1"/>
  <c r="Y7" i="6" l="1"/>
  <c r="Y50" i="7" l="1"/>
  <c r="Y28" i="6"/>
  <c r="Y50" i="6" l="1"/>
  <c r="Y49" i="7"/>
  <c r="Z7" i="7" l="1"/>
  <c r="Y54" i="7"/>
  <c r="Y49" i="6"/>
  <c r="Y54" i="6" s="1"/>
  <c r="Z7" i="6" l="1"/>
  <c r="AC18" i="8" l="1"/>
  <c r="AC19" i="8" s="1"/>
  <c r="AC25" i="8" s="1"/>
  <c r="AC27" i="8" s="1"/>
  <c r="AC19" i="5"/>
  <c r="AC25" i="5" s="1"/>
  <c r="AC27" i="5" s="1"/>
  <c r="AC31" i="5" l="1"/>
  <c r="AD7" i="5"/>
  <c r="AC30" i="5"/>
  <c r="AC30" i="8"/>
  <c r="AC31" i="8"/>
  <c r="AD13" i="5" l="1"/>
  <c r="AD27" i="5" s="1"/>
  <c r="AD7" i="8"/>
  <c r="AD13" i="8" s="1"/>
  <c r="AD27" i="8" s="1"/>
  <c r="AD30" i="8" l="1"/>
  <c r="AD31" i="8"/>
  <c r="AD31" i="5"/>
  <c r="AD30" i="5"/>
  <c r="AE7" i="5"/>
  <c r="AE7" i="8" l="1"/>
  <c r="AE13" i="8" s="1"/>
  <c r="AE27" i="8" s="1"/>
  <c r="AE13" i="5"/>
  <c r="AE27" i="5" s="1"/>
  <c r="AE31" i="5" l="1"/>
  <c r="AE30" i="5"/>
  <c r="AE31" i="8"/>
  <c r="AE30" i="8"/>
  <c r="Z23" i="6" l="1"/>
  <c r="Z18" i="7"/>
  <c r="Z28" i="7" s="1"/>
  <c r="Z21" i="7"/>
  <c r="Z21" i="6"/>
  <c r="Z28" i="6" l="1"/>
  <c r="Z50" i="7"/>
  <c r="Z18" i="6"/>
  <c r="Z49" i="7" l="1"/>
  <c r="Z50" i="6"/>
  <c r="Z54" i="7" l="1"/>
  <c r="Z49" i="6"/>
  <c r="Z54" i="6" s="1"/>
</calcChain>
</file>

<file path=xl/sharedStrings.xml><?xml version="1.0" encoding="utf-8"?>
<sst xmlns="http://schemas.openxmlformats.org/spreadsheetml/2006/main" count="546" uniqueCount="107">
  <si>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</si>
  <si>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</si>
  <si>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</si>
  <si>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</si>
  <si>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</si>
  <si>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</si>
  <si>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</si>
  <si>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</si>
  <si>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</si>
  <si>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</si>
  <si>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</si>
  <si>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</si>
  <si>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</si>
  <si>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</si>
  <si>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</si>
  <si>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</si>
  <si>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1,000 metric tons, raw value</t>
  </si>
  <si>
    <t>Beginning stocks</t>
  </si>
  <si>
    <t>Production</t>
  </si>
  <si>
    <t>Imports</t>
  </si>
  <si>
    <t>Supply</t>
  </si>
  <si>
    <t>Disappearance</t>
  </si>
  <si>
    <t xml:space="preserve"> Human consumption</t>
  </si>
  <si>
    <t xml:space="preserve"> Other consumption</t>
  </si>
  <si>
    <t xml:space="preserve"> Miscellaneous adjustment</t>
  </si>
  <si>
    <t>Total</t>
  </si>
  <si>
    <t>Exports</t>
  </si>
  <si>
    <t>Total use</t>
  </si>
  <si>
    <t>Ending stocks</t>
  </si>
  <si>
    <t>1,000 metric tons, tel quel</t>
  </si>
  <si>
    <t>HFCS consumption (dry weight)</t>
  </si>
  <si>
    <t>Note: Tel quel means as made, or actual weight.</t>
  </si>
  <si>
    <t>Items</t>
  </si>
  <si>
    <t xml:space="preserve"> 2000/01</t>
  </si>
  <si>
    <t>2001/02</t>
  </si>
  <si>
    <t>2002/03</t>
  </si>
  <si>
    <t>2003/04</t>
  </si>
  <si>
    <t>2004/05</t>
  </si>
  <si>
    <t xml:space="preserve">Beginning stocks </t>
  </si>
  <si>
    <t xml:space="preserve">Total production </t>
  </si>
  <si>
    <t xml:space="preserve">  Beet sugar</t>
  </si>
  <si>
    <t xml:space="preserve">  Cane sugar</t>
  </si>
  <si>
    <t xml:space="preserve">    Florida</t>
  </si>
  <si>
    <t xml:space="preserve">    Louisiana</t>
  </si>
  <si>
    <t xml:space="preserve">    Hawaii</t>
  </si>
  <si>
    <t xml:space="preserve">    Puerto Rico</t>
  </si>
  <si>
    <t>Total imports</t>
  </si>
  <si>
    <t xml:space="preserve">  Tariff-rate quota imports </t>
  </si>
  <si>
    <t xml:space="preserve">  Other program imports</t>
  </si>
  <si>
    <t xml:space="preserve"> Non-program imports</t>
  </si>
  <si>
    <t xml:space="preserve">    Mexico </t>
  </si>
  <si>
    <t>Total supply</t>
  </si>
  <si>
    <t xml:space="preserve">Total exports  </t>
  </si>
  <si>
    <t xml:space="preserve">  Quota-exempt for re-export</t>
  </si>
  <si>
    <t xml:space="preserve">  Other exports</t>
  </si>
  <si>
    <t>Miscellaneous</t>
  </si>
  <si>
    <t xml:space="preserve">  CCC disposal, for domestic non-food use</t>
  </si>
  <si>
    <t>NA</t>
  </si>
  <si>
    <t xml:space="preserve">  Refining loss adjustment</t>
  </si>
  <si>
    <t xml:space="preserve">  Statistical adjustment  </t>
  </si>
  <si>
    <t>Deliveries for domestic use</t>
  </si>
  <si>
    <t xml:space="preserve">  Transfer to sugar-containing products</t>
  </si>
  <si>
    <t xml:space="preserve">   for exports under re-export program</t>
  </si>
  <si>
    <t xml:space="preserve">  Transfer to polyhydric alcohol, feed, ethanol</t>
  </si>
  <si>
    <t xml:space="preserve">Ending stocks </t>
  </si>
  <si>
    <t xml:space="preserve">  Privately owned </t>
  </si>
  <si>
    <t xml:space="preserve">  CCC </t>
  </si>
  <si>
    <t>Stocks-to-use ratio</t>
  </si>
  <si>
    <t>1,000 short tons, raw value</t>
  </si>
  <si>
    <t>Table 24a–U.S. sugar: supply and use (including Puerto Rico), by fiscal year, short tons, raw value, since 2000/01</t>
  </si>
  <si>
    <t>2000/01</t>
  </si>
  <si>
    <t>1999/00</t>
  </si>
  <si>
    <t>1998/99</t>
  </si>
  <si>
    <t>1997/98</t>
  </si>
  <si>
    <t>1996/97</t>
  </si>
  <si>
    <t>1995/96</t>
  </si>
  <si>
    <t>Table 24b–U.S. sugar: supply and use (including Puerto Rico), by fiscal year, metric tons, raw value, since 2000/01</t>
  </si>
  <si>
    <t>U.S. and Mexico fiscal year sugar supply and use</t>
  </si>
  <si>
    <t>Table 56a–Mexico: sugar production and supply, and sugar and high-fructose corn syrup utilization, by fiscal year, metric tons, tel quel, since 1995/96</t>
  </si>
  <si>
    <t>Table 56b–Mexico: sugar production and supply, and sugar and high-fructose corn syrup utilization, by fiscal year, metric tons, raw value, since 1995/96</t>
  </si>
  <si>
    <t>Contact: Vidalina Abadam at USDA, Economic Research Service.</t>
  </si>
  <si>
    <t xml:space="preserve">  CCC disposal, for export</t>
  </si>
  <si>
    <t>2021/22</t>
  </si>
  <si>
    <t xml:space="preserve"> United States</t>
  </si>
  <si>
    <t>N/A</t>
  </si>
  <si>
    <t xml:space="preserve"> Imports for consumption</t>
  </si>
  <si>
    <t xml:space="preserve"> Imports for sugar-containing product exports (IMMEX)</t>
  </si>
  <si>
    <t>est. = estimated; proj. = projected; N/A = not available; IMMEX = Industria Manufacturera, Maquiladora y de Servicios de Exportación; HFCS = high-fructose corn syrup.</t>
  </si>
  <si>
    <r>
      <t xml:space="preserve"> Other countries </t>
    </r>
    <r>
      <rPr>
        <vertAlign val="superscript"/>
        <sz val="8"/>
        <rFont val="Arial"/>
        <family val="2"/>
      </rPr>
      <t>1/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</si>
  <si>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Includes exports participating in the U.S. re-export programs.</t>
    </r>
  </si>
  <si>
    <t>2022/23</t>
  </si>
  <si>
    <t>2023/24 est.</t>
  </si>
  <si>
    <t>2024/25 proj.</t>
  </si>
  <si>
    <t xml:space="preserve">    Texas 2/</t>
  </si>
  <si>
    <t xml:space="preserve">       High-tier</t>
  </si>
  <si>
    <t>est. = estimated; proj. = projected; N/A = not available; CCC = Commodity Credit Corporation.</t>
  </si>
  <si>
    <t xml:space="preserve">  Deliveries for domestic food and beverage use 2/</t>
  </si>
  <si>
    <r>
      <t xml:space="preserve">2/ For fiscal year 2008/09, combines USDA, Farm Service Agency's </t>
    </r>
    <r>
      <rPr>
        <i/>
        <sz val="8"/>
        <rFont val="Arial"/>
        <family val="2"/>
      </rPr>
      <t>Sweetener Market Data</t>
    </r>
    <r>
      <rPr>
        <sz val="8"/>
        <rFont val="Arial"/>
        <family val="2"/>
      </rPr>
      <t xml:space="preserve"> (</t>
    </r>
    <r>
      <rPr>
        <i/>
        <sz val="8"/>
        <rFont val="Arial"/>
        <family val="2"/>
      </rPr>
      <t>SMD</t>
    </r>
    <r>
      <rPr>
        <sz val="8"/>
        <rFont val="Arial"/>
        <family val="2"/>
      </rPr>
      <t xml:space="preserve">) deliveries for domestic human use, </t>
    </r>
    <r>
      <rPr>
        <i/>
        <sz val="8"/>
        <rFont val="Arial"/>
        <family val="2"/>
      </rPr>
      <t>SMD</t>
    </r>
    <r>
      <rPr>
        <sz val="8"/>
        <rFont val="Arial"/>
        <family val="2"/>
      </rPr>
      <t xml:space="preserve"> miscellaneous uses, and the difference between </t>
    </r>
    <r>
      <rPr>
        <i/>
        <sz val="8"/>
        <rFont val="Arial"/>
        <family val="2"/>
      </rPr>
      <t>SMD</t>
    </r>
    <r>
      <rPr>
        <sz val="8"/>
        <rFont val="Arial"/>
        <family val="2"/>
      </rPr>
      <t xml:space="preserve"> imports and </t>
    </r>
    <r>
      <rPr>
        <i/>
        <sz val="8"/>
        <rFont val="Arial"/>
        <family val="2"/>
      </rPr>
      <t>World Agricultural Supply and Demand Estimate's</t>
    </r>
    <r>
      <rPr>
        <sz val="8"/>
        <rFont val="Arial"/>
        <family val="2"/>
      </rPr>
      <t xml:space="preserve"> imports.</t>
    </r>
  </si>
  <si>
    <r>
      <t>Source: USDA, Economic Research Service, based on data from USDA, World Agricultural Outlook Board,</t>
    </r>
    <r>
      <rPr>
        <i/>
        <sz val="8"/>
        <rFont val="Arial"/>
        <family val="2"/>
      </rPr>
      <t xml:space="preserve"> World Agricultural Supply and Demand Estimates</t>
    </r>
    <r>
      <rPr>
        <sz val="8"/>
        <rFont val="Arial"/>
        <family val="2"/>
      </rPr>
      <t xml:space="preserve"> (</t>
    </r>
    <r>
      <rPr>
        <i/>
        <sz val="8"/>
        <rFont val="Arial"/>
        <family val="2"/>
      </rPr>
      <t>WASDE</t>
    </r>
    <r>
      <rPr>
        <sz val="8"/>
        <rFont val="Arial"/>
        <family val="2"/>
      </rPr>
      <t>); USDA, Farm Service Agency.</t>
    </r>
  </si>
  <si>
    <r>
      <t xml:space="preserve">Source: USDA, Economic Research Service, based on data from USDA, World Agricultural Outlook Board, </t>
    </r>
    <r>
      <rPr>
        <i/>
        <sz val="8"/>
        <rFont val="Arial"/>
        <family val="2"/>
      </rPr>
      <t>World Agricultural Supply and Demand Estimates</t>
    </r>
    <r>
      <rPr>
        <sz val="8"/>
        <rFont val="Arial"/>
        <family val="2"/>
      </rPr>
      <t xml:space="preserve"> (</t>
    </r>
    <r>
      <rPr>
        <i/>
        <sz val="8"/>
        <rFont val="Arial"/>
        <family val="2"/>
      </rPr>
      <t>WASDE</t>
    </r>
    <r>
      <rPr>
        <sz val="8"/>
        <rFont val="Arial"/>
        <family val="2"/>
      </rPr>
      <t>); USDA, Foreign Agricultural Service.</t>
    </r>
  </si>
  <si>
    <t xml:space="preserve">          Raw</t>
  </si>
  <si>
    <t xml:space="preserve">          Refined</t>
  </si>
  <si>
    <t xml:space="preserve">    High-tier tariff/other</t>
  </si>
  <si>
    <t xml:space="preserve">       Other 1/</t>
  </si>
  <si>
    <t xml:space="preserve">1/ Starting with the June 2024 World Agricultural Supply and Demand Estimates, the 2023/24 and 2024/25 value for "High-duty sugar/Other" includes the raw sugar equivalent of cane molasses that is being imported as an input to produce refined cane sugar by SMD-reporting cane refiners. The corresponding Harmonized Tariff Schedule of the United States (HTSUS) is 1703.10.3000 and the corresponding description is “Cane molasses: Imported for (a) the commercial extraction of sugar or (b) human consumption.” </t>
  </si>
  <si>
    <t>Stocks-to-human consumption ratio</t>
  </si>
  <si>
    <t>Last updated: 11/18/2024.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</si>
</sst>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[$-409]mmm\-yy;@"/>
    <numFmt numFmtId="167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1" xfId="1" quotePrefix="1" applyFont="1" applyBorder="1" applyAlignment="1">
      <alignment horizontal="left"/>
    </xf>
    <xf numFmtId="0" fontId="4" fillId="0" borderId="1" xfId="1" applyFont="1" applyBorder="1"/>
    <xf numFmtId="0" fontId="4" fillId="0" borderId="0" xfId="1" applyFont="1"/>
    <xf numFmtId="0" fontId="4" fillId="0" borderId="1" xfId="1" applyFont="1" applyBorder="1" applyAlignment="1">
      <alignment horizontal="left"/>
    </xf>
    <xf numFmtId="17" fontId="4" fillId="0" borderId="1" xfId="1" quotePrefix="1" applyNumberFormat="1" applyFont="1" applyBorder="1" applyAlignment="1">
      <alignment horizontal="left"/>
    </xf>
    <xf numFmtId="166" fontId="4" fillId="0" borderId="1" xfId="1" quotePrefix="1" applyNumberFormat="1" applyFont="1" applyBorder="1" applyAlignment="1">
      <alignment horizontal="left"/>
    </xf>
    <xf numFmtId="0" fontId="4" fillId="0" borderId="0" xfId="1" quotePrefix="1" applyFont="1" applyAlignment="1">
      <alignment horizontal="left"/>
    </xf>
    <xf numFmtId="3" fontId="4" fillId="0" borderId="0" xfId="1" applyNumberFormat="1" applyFont="1"/>
    <xf numFmtId="3" fontId="4" fillId="0" borderId="0" xfId="1" applyNumberFormat="1" applyFont="1" applyAlignment="1">
      <alignment horizontal="right"/>
    </xf>
    <xf numFmtId="164" fontId="4" fillId="0" borderId="0" xfId="1" applyNumberFormat="1" applyFont="1"/>
    <xf numFmtId="2" fontId="4" fillId="0" borderId="1" xfId="1" applyNumberFormat="1" applyFont="1" applyBorder="1"/>
    <xf numFmtId="0" fontId="4" fillId="0" borderId="0" xfId="1" applyFont="1" applyAlignment="1">
      <alignment horizontal="left"/>
    </xf>
    <xf numFmtId="0" fontId="4" fillId="0" borderId="2" xfId="1" applyFont="1" applyBorder="1"/>
    <xf numFmtId="3" fontId="4" fillId="0" borderId="1" xfId="1" applyNumberFormat="1" applyFont="1" applyBorder="1"/>
    <xf numFmtId="165" fontId="4" fillId="0" borderId="0" xfId="1" applyNumberFormat="1" applyFont="1"/>
    <xf numFmtId="2" fontId="4" fillId="0" borderId="0" xfId="1" applyNumberFormat="1" applyFont="1"/>
    <xf numFmtId="0" fontId="7" fillId="0" borderId="0" xfId="2" quotePrefix="1" applyFont="1"/>
    <xf numFmtId="0" fontId="4" fillId="0" borderId="1" xfId="0" quotePrefix="1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17" fontId="4" fillId="0" borderId="1" xfId="0" quotePrefix="1" applyNumberFormat="1" applyFont="1" applyBorder="1" applyAlignment="1">
      <alignment horizontal="left"/>
    </xf>
    <xf numFmtId="166" fontId="4" fillId="0" borderId="1" xfId="0" quotePrefix="1" applyNumberFormat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NumberFormat="1" applyFont="1"/>
    <xf numFmtId="2" fontId="4" fillId="0" borderId="1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1" xfId="1" quotePrefix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3" applyNumberFormat="1" applyFont="1" applyAlignment="1">
      <alignment horizontal="left"/>
    </xf>
    <xf numFmtId="167" fontId="4" fillId="0" borderId="0" xfId="1" applyNumberFormat="1" applyFont="1"/>
    <xf numFmtId="1" fontId="4" fillId="0" borderId="0" xfId="0" applyNumberFormat="1" applyFont="1"/>
    <xf numFmtId="4" fontId="4" fillId="0" borderId="1" xfId="1" applyNumberFormat="1" applyFont="1" applyBorder="1"/>
    <xf numFmtId="4" fontId="4" fillId="0" borderId="0" xfId="0" applyNumberFormat="1" applyFont="1"/>
    <xf numFmtId="167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4" fontId="4" fillId="0" borderId="1" xfId="0" applyNumberFormat="1" applyFont="1" applyBorder="1"/>
  </cellXfs>
  <cellStyles count="5">
    <cellStyle name="Hyperlink" xfId="2" builtinId="8"/>
    <cellStyle name="Normal" xfId="0" builtinId="0"/>
    <cellStyle name="Normal 2" xfId="1" xr:uid="{4653EA15-40BB-4657-9F30-96093CA00715}"/>
    <cellStyle name="Normal 31" xfId="4" xr:uid="{317C8DCB-72FC-4BE3-AEC4-C47CFC7EA609}"/>
    <cellStyle name="Normal_WASDE2~1 5" xfId="3" xr:uid="{29FA5DB4-E18D-4E37-AB7F-FAD0A57CB5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53C3-3ADE-4255-A382-B6D6A03F1AC4}">
  <dimension ref="A1:A9"/>
  <sheetViews>
    <sheetView tabSelected="1" workbookViewId="0"/>
  </sheetViews>
  <sheetFormatPr defaultColWidth="9.140625" defaultRowHeight="12.75" x14ac:dyDescent="0.2"/>
  <cols>
    <col min="1" max="16384" width="9.140625" style="2"/>
  </cols>
  <sheetData>
    <row r="1" spans="1:1" x14ac:dyDescent="0.2">
      <c r="A1" s="1" t="s">
        <v>77</v>
      </c>
    </row>
    <row r="2" spans="1:1" x14ac:dyDescent="0.2">
      <c r="A2" s="19" t="s">
        <v>69</v>
      </c>
    </row>
    <row r="3" spans="1:1" x14ac:dyDescent="0.2">
      <c r="A3" s="19" t="s">
        <v>76</v>
      </c>
    </row>
    <row r="4" spans="1:1" x14ac:dyDescent="0.2">
      <c r="A4" s="19" t="s">
        <v>78</v>
      </c>
    </row>
    <row r="5" spans="1:1" x14ac:dyDescent="0.2">
      <c r="A5" s="19" t="s">
        <v>79</v>
      </c>
    </row>
    <row r="7" spans="1:1" x14ac:dyDescent="0.2">
      <c r="A7" s="2" t="s">
        <v>106</v>
      </c>
    </row>
    <row r="9" spans="1:1" x14ac:dyDescent="0.2">
      <c r="A9" s="2" t="s">
        <v>80</v>
      </c>
    </row>
  </sheetData>
  <hyperlinks>
    <hyperlink ref="A2" location="TABLE24a!A1" display="Table 24a–U.S. sugar: supply and use (including Puerto Rico), by fiscal year, short tons, raw value, since 2000/01" xr:uid="{08D7BCE9-710E-4E79-A3B1-424F7D1F0701}"/>
    <hyperlink ref="A3" location="TABLE24b!A1" display="Table 24b–U.S. sugar: supply and use (including Puerto Rico), fiscal years, metric tons, raw value, since 2000/01" xr:uid="{42DD847B-4A73-4DFC-9841-07836A215AB0}"/>
    <hyperlink ref="A4" location="Table56a!A1" display="Table 56a–Mexico: sugar production and supply, and sugar and high-fructose corn syrup (HFCS) utilization, metric tons, tel quel, since 1995/96" xr:uid="{69E12DE3-EB13-4E43-91B7-F6C6CF9C3157}"/>
    <hyperlink ref="A5" location="Table56b!A1" display="Table 56b–Mexico: sugar production and supply, and sugar and high-fructose corn syrup (HFCS) utilization, metric tons, raw value, since 1995/96" xr:uid="{F6F851F3-9372-4D6E-ABA6-29D3DB137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0B9E4-F929-4973-AC32-9B07CA52F3F6}">
  <sheetPr>
    <pageSetUpPr fitToPage="1"/>
  </sheetPr>
  <dimension ref="A1:AA6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1.25" x14ac:dyDescent="0.2"/>
  <cols>
    <col min="1" max="1" width="40.42578125" style="22" customWidth="1"/>
    <col min="2" max="3" width="9.140625" style="22" customWidth="1"/>
    <col min="4" max="4" width="9" style="22" customWidth="1"/>
    <col min="5" max="21" width="10.42578125" style="22" customWidth="1"/>
    <col min="22" max="22" width="9.5703125" style="22" customWidth="1"/>
    <col min="23" max="23" width="9.140625" style="22" customWidth="1"/>
    <col min="24" max="26" width="10" style="22" bestFit="1" customWidth="1"/>
    <col min="27" max="256" width="9.140625" style="22"/>
    <col min="257" max="257" width="43.28515625" style="22" customWidth="1"/>
    <col min="258" max="259" width="9.140625" style="22" customWidth="1"/>
    <col min="260" max="260" width="9" style="22" customWidth="1"/>
    <col min="261" max="277" width="10.42578125" style="22" customWidth="1"/>
    <col min="278" max="278" width="9.5703125" style="22" bestFit="1" customWidth="1"/>
    <col min="279" max="279" width="9.140625" style="22" bestFit="1"/>
    <col min="280" max="512" width="9.140625" style="22"/>
    <col min="513" max="513" width="43.28515625" style="22" customWidth="1"/>
    <col min="514" max="515" width="9.140625" style="22" customWidth="1"/>
    <col min="516" max="516" width="9" style="22" customWidth="1"/>
    <col min="517" max="533" width="10.42578125" style="22" customWidth="1"/>
    <col min="534" max="534" width="9.5703125" style="22" bestFit="1" customWidth="1"/>
    <col min="535" max="535" width="9.140625" style="22" bestFit="1"/>
    <col min="536" max="768" width="9.140625" style="22"/>
    <col min="769" max="769" width="43.28515625" style="22" customWidth="1"/>
    <col min="770" max="771" width="9.140625" style="22" customWidth="1"/>
    <col min="772" max="772" width="9" style="22" customWidth="1"/>
    <col min="773" max="789" width="10.42578125" style="22" customWidth="1"/>
    <col min="790" max="790" width="9.5703125" style="22" bestFit="1" customWidth="1"/>
    <col min="791" max="791" width="9.140625" style="22" bestFit="1"/>
    <col min="792" max="1024" width="9.140625" style="22"/>
    <col min="1025" max="1025" width="43.28515625" style="22" customWidth="1"/>
    <col min="1026" max="1027" width="9.140625" style="22" customWidth="1"/>
    <col min="1028" max="1028" width="9" style="22" customWidth="1"/>
    <col min="1029" max="1045" width="10.42578125" style="22" customWidth="1"/>
    <col min="1046" max="1046" width="9.5703125" style="22" bestFit="1" customWidth="1"/>
    <col min="1047" max="1047" width="9.140625" style="22" bestFit="1"/>
    <col min="1048" max="1280" width="9.140625" style="22"/>
    <col min="1281" max="1281" width="43.28515625" style="22" customWidth="1"/>
    <col min="1282" max="1283" width="9.140625" style="22" customWidth="1"/>
    <col min="1284" max="1284" width="9" style="22" customWidth="1"/>
    <col min="1285" max="1301" width="10.42578125" style="22" customWidth="1"/>
    <col min="1302" max="1302" width="9.5703125" style="22" bestFit="1" customWidth="1"/>
    <col min="1303" max="1303" width="9.140625" style="22" bestFit="1"/>
    <col min="1304" max="1536" width="9.140625" style="22"/>
    <col min="1537" max="1537" width="43.28515625" style="22" customWidth="1"/>
    <col min="1538" max="1539" width="9.140625" style="22" customWidth="1"/>
    <col min="1540" max="1540" width="9" style="22" customWidth="1"/>
    <col min="1541" max="1557" width="10.42578125" style="22" customWidth="1"/>
    <col min="1558" max="1558" width="9.5703125" style="22" bestFit="1" customWidth="1"/>
    <col min="1559" max="1559" width="9.140625" style="22" bestFit="1"/>
    <col min="1560" max="1792" width="9.140625" style="22"/>
    <col min="1793" max="1793" width="43.28515625" style="22" customWidth="1"/>
    <col min="1794" max="1795" width="9.140625" style="22" customWidth="1"/>
    <col min="1796" max="1796" width="9" style="22" customWidth="1"/>
    <col min="1797" max="1813" width="10.42578125" style="22" customWidth="1"/>
    <col min="1814" max="1814" width="9.5703125" style="22" bestFit="1" customWidth="1"/>
    <col min="1815" max="1815" width="9.140625" style="22" bestFit="1"/>
    <col min="1816" max="2048" width="9.140625" style="22"/>
    <col min="2049" max="2049" width="43.28515625" style="22" customWidth="1"/>
    <col min="2050" max="2051" width="9.140625" style="22" customWidth="1"/>
    <col min="2052" max="2052" width="9" style="22" customWidth="1"/>
    <col min="2053" max="2069" width="10.42578125" style="22" customWidth="1"/>
    <col min="2070" max="2070" width="9.5703125" style="22" bestFit="1" customWidth="1"/>
    <col min="2071" max="2071" width="9.140625" style="22" bestFit="1"/>
    <col min="2072" max="2304" width="9.140625" style="22"/>
    <col min="2305" max="2305" width="43.28515625" style="22" customWidth="1"/>
    <col min="2306" max="2307" width="9.140625" style="22" customWidth="1"/>
    <col min="2308" max="2308" width="9" style="22" customWidth="1"/>
    <col min="2309" max="2325" width="10.42578125" style="22" customWidth="1"/>
    <col min="2326" max="2326" width="9.5703125" style="22" bestFit="1" customWidth="1"/>
    <col min="2327" max="2327" width="9.140625" style="22" bestFit="1"/>
    <col min="2328" max="2560" width="9.140625" style="22"/>
    <col min="2561" max="2561" width="43.28515625" style="22" customWidth="1"/>
    <col min="2562" max="2563" width="9.140625" style="22" customWidth="1"/>
    <col min="2564" max="2564" width="9" style="22" customWidth="1"/>
    <col min="2565" max="2581" width="10.42578125" style="22" customWidth="1"/>
    <col min="2582" max="2582" width="9.5703125" style="22" bestFit="1" customWidth="1"/>
    <col min="2583" max="2583" width="9.140625" style="22" bestFit="1"/>
    <col min="2584" max="2816" width="9.140625" style="22"/>
    <col min="2817" max="2817" width="43.28515625" style="22" customWidth="1"/>
    <col min="2818" max="2819" width="9.140625" style="22" customWidth="1"/>
    <col min="2820" max="2820" width="9" style="22" customWidth="1"/>
    <col min="2821" max="2837" width="10.42578125" style="22" customWidth="1"/>
    <col min="2838" max="2838" width="9.5703125" style="22" bestFit="1" customWidth="1"/>
    <col min="2839" max="2839" width="9.140625" style="22" bestFit="1"/>
    <col min="2840" max="3072" width="9.140625" style="22"/>
    <col min="3073" max="3073" width="43.28515625" style="22" customWidth="1"/>
    <col min="3074" max="3075" width="9.140625" style="22" customWidth="1"/>
    <col min="3076" max="3076" width="9" style="22" customWidth="1"/>
    <col min="3077" max="3093" width="10.42578125" style="22" customWidth="1"/>
    <col min="3094" max="3094" width="9.5703125" style="22" bestFit="1" customWidth="1"/>
    <col min="3095" max="3095" width="9.140625" style="22" bestFit="1"/>
    <col min="3096" max="3328" width="9.140625" style="22"/>
    <col min="3329" max="3329" width="43.28515625" style="22" customWidth="1"/>
    <col min="3330" max="3331" width="9.140625" style="22" customWidth="1"/>
    <col min="3332" max="3332" width="9" style="22" customWidth="1"/>
    <col min="3333" max="3349" width="10.42578125" style="22" customWidth="1"/>
    <col min="3350" max="3350" width="9.5703125" style="22" bestFit="1" customWidth="1"/>
    <col min="3351" max="3351" width="9.140625" style="22" bestFit="1"/>
    <col min="3352" max="3584" width="9.140625" style="22"/>
    <col min="3585" max="3585" width="43.28515625" style="22" customWidth="1"/>
    <col min="3586" max="3587" width="9.140625" style="22" customWidth="1"/>
    <col min="3588" max="3588" width="9" style="22" customWidth="1"/>
    <col min="3589" max="3605" width="10.42578125" style="22" customWidth="1"/>
    <col min="3606" max="3606" width="9.5703125" style="22" bestFit="1" customWidth="1"/>
    <col min="3607" max="3607" width="9.140625" style="22" bestFit="1"/>
    <col min="3608" max="3840" width="9.140625" style="22"/>
    <col min="3841" max="3841" width="43.28515625" style="22" customWidth="1"/>
    <col min="3842" max="3843" width="9.140625" style="22" customWidth="1"/>
    <col min="3844" max="3844" width="9" style="22" customWidth="1"/>
    <col min="3845" max="3861" width="10.42578125" style="22" customWidth="1"/>
    <col min="3862" max="3862" width="9.5703125" style="22" bestFit="1" customWidth="1"/>
    <col min="3863" max="3863" width="9.140625" style="22" bestFit="1"/>
    <col min="3864" max="4096" width="9.140625" style="22"/>
    <col min="4097" max="4097" width="43.28515625" style="22" customWidth="1"/>
    <col min="4098" max="4099" width="9.140625" style="22" customWidth="1"/>
    <col min="4100" max="4100" width="9" style="22" customWidth="1"/>
    <col min="4101" max="4117" width="10.42578125" style="22" customWidth="1"/>
    <col min="4118" max="4118" width="9.5703125" style="22" bestFit="1" customWidth="1"/>
    <col min="4119" max="4119" width="9.140625" style="22" bestFit="1"/>
    <col min="4120" max="4352" width="9.140625" style="22"/>
    <col min="4353" max="4353" width="43.28515625" style="22" customWidth="1"/>
    <col min="4354" max="4355" width="9.140625" style="22" customWidth="1"/>
    <col min="4356" max="4356" width="9" style="22" customWidth="1"/>
    <col min="4357" max="4373" width="10.42578125" style="22" customWidth="1"/>
    <col min="4374" max="4374" width="9.5703125" style="22" bestFit="1" customWidth="1"/>
    <col min="4375" max="4375" width="9.140625" style="22" bestFit="1"/>
    <col min="4376" max="4608" width="9.140625" style="22"/>
    <col min="4609" max="4609" width="43.28515625" style="22" customWidth="1"/>
    <col min="4610" max="4611" width="9.140625" style="22" customWidth="1"/>
    <col min="4612" max="4612" width="9" style="22" customWidth="1"/>
    <col min="4613" max="4629" width="10.42578125" style="22" customWidth="1"/>
    <col min="4630" max="4630" width="9.5703125" style="22" bestFit="1" customWidth="1"/>
    <col min="4631" max="4631" width="9.140625" style="22" bestFit="1"/>
    <col min="4632" max="4864" width="9.140625" style="22"/>
    <col min="4865" max="4865" width="43.28515625" style="22" customWidth="1"/>
    <col min="4866" max="4867" width="9.140625" style="22" customWidth="1"/>
    <col min="4868" max="4868" width="9" style="22" customWidth="1"/>
    <col min="4869" max="4885" width="10.42578125" style="22" customWidth="1"/>
    <col min="4886" max="4886" width="9.5703125" style="22" bestFit="1" customWidth="1"/>
    <col min="4887" max="4887" width="9.140625" style="22" bestFit="1"/>
    <col min="4888" max="5120" width="9.140625" style="22"/>
    <col min="5121" max="5121" width="43.28515625" style="22" customWidth="1"/>
    <col min="5122" max="5123" width="9.140625" style="22" customWidth="1"/>
    <col min="5124" max="5124" width="9" style="22" customWidth="1"/>
    <col min="5125" max="5141" width="10.42578125" style="22" customWidth="1"/>
    <col min="5142" max="5142" width="9.5703125" style="22" bestFit="1" customWidth="1"/>
    <col min="5143" max="5143" width="9.140625" style="22" bestFit="1"/>
    <col min="5144" max="5376" width="9.140625" style="22"/>
    <col min="5377" max="5377" width="43.28515625" style="22" customWidth="1"/>
    <col min="5378" max="5379" width="9.140625" style="22" customWidth="1"/>
    <col min="5380" max="5380" width="9" style="22" customWidth="1"/>
    <col min="5381" max="5397" width="10.42578125" style="22" customWidth="1"/>
    <col min="5398" max="5398" width="9.5703125" style="22" bestFit="1" customWidth="1"/>
    <col min="5399" max="5399" width="9.140625" style="22" bestFit="1"/>
    <col min="5400" max="5632" width="9.140625" style="22"/>
    <col min="5633" max="5633" width="43.28515625" style="22" customWidth="1"/>
    <col min="5634" max="5635" width="9.140625" style="22" customWidth="1"/>
    <col min="5636" max="5636" width="9" style="22" customWidth="1"/>
    <col min="5637" max="5653" width="10.42578125" style="22" customWidth="1"/>
    <col min="5654" max="5654" width="9.5703125" style="22" bestFit="1" customWidth="1"/>
    <col min="5655" max="5655" width="9.140625" style="22" bestFit="1"/>
    <col min="5656" max="5888" width="9.140625" style="22"/>
    <col min="5889" max="5889" width="43.28515625" style="22" customWidth="1"/>
    <col min="5890" max="5891" width="9.140625" style="22" customWidth="1"/>
    <col min="5892" max="5892" width="9" style="22" customWidth="1"/>
    <col min="5893" max="5909" width="10.42578125" style="22" customWidth="1"/>
    <col min="5910" max="5910" width="9.5703125" style="22" bestFit="1" customWidth="1"/>
    <col min="5911" max="5911" width="9.140625" style="22" bestFit="1"/>
    <col min="5912" max="6144" width="9.140625" style="22"/>
    <col min="6145" max="6145" width="43.28515625" style="22" customWidth="1"/>
    <col min="6146" max="6147" width="9.140625" style="22" customWidth="1"/>
    <col min="6148" max="6148" width="9" style="22" customWidth="1"/>
    <col min="6149" max="6165" width="10.42578125" style="22" customWidth="1"/>
    <col min="6166" max="6166" width="9.5703125" style="22" bestFit="1" customWidth="1"/>
    <col min="6167" max="6167" width="9.140625" style="22" bestFit="1"/>
    <col min="6168" max="6400" width="9.140625" style="22"/>
    <col min="6401" max="6401" width="43.28515625" style="22" customWidth="1"/>
    <col min="6402" max="6403" width="9.140625" style="22" customWidth="1"/>
    <col min="6404" max="6404" width="9" style="22" customWidth="1"/>
    <col min="6405" max="6421" width="10.42578125" style="22" customWidth="1"/>
    <col min="6422" max="6422" width="9.5703125" style="22" bestFit="1" customWidth="1"/>
    <col min="6423" max="6423" width="9.140625" style="22" bestFit="1"/>
    <col min="6424" max="6656" width="9.140625" style="22"/>
    <col min="6657" max="6657" width="43.28515625" style="22" customWidth="1"/>
    <col min="6658" max="6659" width="9.140625" style="22" customWidth="1"/>
    <col min="6660" max="6660" width="9" style="22" customWidth="1"/>
    <col min="6661" max="6677" width="10.42578125" style="22" customWidth="1"/>
    <col min="6678" max="6678" width="9.5703125" style="22" bestFit="1" customWidth="1"/>
    <col min="6679" max="6679" width="9.140625" style="22" bestFit="1"/>
    <col min="6680" max="6912" width="9.140625" style="22"/>
    <col min="6913" max="6913" width="43.28515625" style="22" customWidth="1"/>
    <col min="6914" max="6915" width="9.140625" style="22" customWidth="1"/>
    <col min="6916" max="6916" width="9" style="22" customWidth="1"/>
    <col min="6917" max="6933" width="10.42578125" style="22" customWidth="1"/>
    <col min="6934" max="6934" width="9.5703125" style="22" bestFit="1" customWidth="1"/>
    <col min="6935" max="6935" width="9.140625" style="22" bestFit="1"/>
    <col min="6936" max="7168" width="9.140625" style="22"/>
    <col min="7169" max="7169" width="43.28515625" style="22" customWidth="1"/>
    <col min="7170" max="7171" width="9.140625" style="22" customWidth="1"/>
    <col min="7172" max="7172" width="9" style="22" customWidth="1"/>
    <col min="7173" max="7189" width="10.42578125" style="22" customWidth="1"/>
    <col min="7190" max="7190" width="9.5703125" style="22" bestFit="1" customWidth="1"/>
    <col min="7191" max="7191" width="9.140625" style="22" bestFit="1"/>
    <col min="7192" max="7424" width="9.140625" style="22"/>
    <col min="7425" max="7425" width="43.28515625" style="22" customWidth="1"/>
    <col min="7426" max="7427" width="9.140625" style="22" customWidth="1"/>
    <col min="7428" max="7428" width="9" style="22" customWidth="1"/>
    <col min="7429" max="7445" width="10.42578125" style="22" customWidth="1"/>
    <col min="7446" max="7446" width="9.5703125" style="22" bestFit="1" customWidth="1"/>
    <col min="7447" max="7447" width="9.140625" style="22" bestFit="1"/>
    <col min="7448" max="7680" width="9.140625" style="22"/>
    <col min="7681" max="7681" width="43.28515625" style="22" customWidth="1"/>
    <col min="7682" max="7683" width="9.140625" style="22" customWidth="1"/>
    <col min="7684" max="7684" width="9" style="22" customWidth="1"/>
    <col min="7685" max="7701" width="10.42578125" style="22" customWidth="1"/>
    <col min="7702" max="7702" width="9.5703125" style="22" bestFit="1" customWidth="1"/>
    <col min="7703" max="7703" width="9.140625" style="22" bestFit="1"/>
    <col min="7704" max="7936" width="9.140625" style="22"/>
    <col min="7937" max="7937" width="43.28515625" style="22" customWidth="1"/>
    <col min="7938" max="7939" width="9.140625" style="22" customWidth="1"/>
    <col min="7940" max="7940" width="9" style="22" customWidth="1"/>
    <col min="7941" max="7957" width="10.42578125" style="22" customWidth="1"/>
    <col min="7958" max="7958" width="9.5703125" style="22" bestFit="1" customWidth="1"/>
    <col min="7959" max="7959" width="9.140625" style="22" bestFit="1"/>
    <col min="7960" max="8192" width="9.140625" style="22"/>
    <col min="8193" max="8193" width="43.28515625" style="22" customWidth="1"/>
    <col min="8194" max="8195" width="9.140625" style="22" customWidth="1"/>
    <col min="8196" max="8196" width="9" style="22" customWidth="1"/>
    <col min="8197" max="8213" width="10.42578125" style="22" customWidth="1"/>
    <col min="8214" max="8214" width="9.5703125" style="22" bestFit="1" customWidth="1"/>
    <col min="8215" max="8215" width="9.140625" style="22" bestFit="1"/>
    <col min="8216" max="8448" width="9.140625" style="22"/>
    <col min="8449" max="8449" width="43.28515625" style="22" customWidth="1"/>
    <col min="8450" max="8451" width="9.140625" style="22" customWidth="1"/>
    <col min="8452" max="8452" width="9" style="22" customWidth="1"/>
    <col min="8453" max="8469" width="10.42578125" style="22" customWidth="1"/>
    <col min="8470" max="8470" width="9.5703125" style="22" bestFit="1" customWidth="1"/>
    <col min="8471" max="8471" width="9.140625" style="22" bestFit="1"/>
    <col min="8472" max="8704" width="9.140625" style="22"/>
    <col min="8705" max="8705" width="43.28515625" style="22" customWidth="1"/>
    <col min="8706" max="8707" width="9.140625" style="22" customWidth="1"/>
    <col min="8708" max="8708" width="9" style="22" customWidth="1"/>
    <col min="8709" max="8725" width="10.42578125" style="22" customWidth="1"/>
    <col min="8726" max="8726" width="9.5703125" style="22" bestFit="1" customWidth="1"/>
    <col min="8727" max="8727" width="9.140625" style="22" bestFit="1"/>
    <col min="8728" max="8960" width="9.140625" style="22"/>
    <col min="8961" max="8961" width="43.28515625" style="22" customWidth="1"/>
    <col min="8962" max="8963" width="9.140625" style="22" customWidth="1"/>
    <col min="8964" max="8964" width="9" style="22" customWidth="1"/>
    <col min="8965" max="8981" width="10.42578125" style="22" customWidth="1"/>
    <col min="8982" max="8982" width="9.5703125" style="22" bestFit="1" customWidth="1"/>
    <col min="8983" max="8983" width="9.140625" style="22" bestFit="1"/>
    <col min="8984" max="9216" width="9.140625" style="22"/>
    <col min="9217" max="9217" width="43.28515625" style="22" customWidth="1"/>
    <col min="9218" max="9219" width="9.140625" style="22" customWidth="1"/>
    <col min="9220" max="9220" width="9" style="22" customWidth="1"/>
    <col min="9221" max="9237" width="10.42578125" style="22" customWidth="1"/>
    <col min="9238" max="9238" width="9.5703125" style="22" bestFit="1" customWidth="1"/>
    <col min="9239" max="9239" width="9.140625" style="22" bestFit="1"/>
    <col min="9240" max="9472" width="9.140625" style="22"/>
    <col min="9473" max="9473" width="43.28515625" style="22" customWidth="1"/>
    <col min="9474" max="9475" width="9.140625" style="22" customWidth="1"/>
    <col min="9476" max="9476" width="9" style="22" customWidth="1"/>
    <col min="9477" max="9493" width="10.42578125" style="22" customWidth="1"/>
    <col min="9494" max="9494" width="9.5703125" style="22" bestFit="1" customWidth="1"/>
    <col min="9495" max="9495" width="9.140625" style="22" bestFit="1"/>
    <col min="9496" max="9728" width="9.140625" style="22"/>
    <col min="9729" max="9729" width="43.28515625" style="22" customWidth="1"/>
    <col min="9730" max="9731" width="9.140625" style="22" customWidth="1"/>
    <col min="9732" max="9732" width="9" style="22" customWidth="1"/>
    <col min="9733" max="9749" width="10.42578125" style="22" customWidth="1"/>
    <col min="9750" max="9750" width="9.5703125" style="22" bestFit="1" customWidth="1"/>
    <col min="9751" max="9751" width="9.140625" style="22" bestFit="1"/>
    <col min="9752" max="9984" width="9.140625" style="22"/>
    <col min="9985" max="9985" width="43.28515625" style="22" customWidth="1"/>
    <col min="9986" max="9987" width="9.140625" style="22" customWidth="1"/>
    <col min="9988" max="9988" width="9" style="22" customWidth="1"/>
    <col min="9989" max="10005" width="10.42578125" style="22" customWidth="1"/>
    <col min="10006" max="10006" width="9.5703125" style="22" bestFit="1" customWidth="1"/>
    <col min="10007" max="10007" width="9.140625" style="22" bestFit="1"/>
    <col min="10008" max="10240" width="9.140625" style="22"/>
    <col min="10241" max="10241" width="43.28515625" style="22" customWidth="1"/>
    <col min="10242" max="10243" width="9.140625" style="22" customWidth="1"/>
    <col min="10244" max="10244" width="9" style="22" customWidth="1"/>
    <col min="10245" max="10261" width="10.42578125" style="22" customWidth="1"/>
    <col min="10262" max="10262" width="9.5703125" style="22" bestFit="1" customWidth="1"/>
    <col min="10263" max="10263" width="9.140625" style="22" bestFit="1"/>
    <col min="10264" max="10496" width="9.140625" style="22"/>
    <col min="10497" max="10497" width="43.28515625" style="22" customWidth="1"/>
    <col min="10498" max="10499" width="9.140625" style="22" customWidth="1"/>
    <col min="10500" max="10500" width="9" style="22" customWidth="1"/>
    <col min="10501" max="10517" width="10.42578125" style="22" customWidth="1"/>
    <col min="10518" max="10518" width="9.5703125" style="22" bestFit="1" customWidth="1"/>
    <col min="10519" max="10519" width="9.140625" style="22" bestFit="1"/>
    <col min="10520" max="10752" width="9.140625" style="22"/>
    <col min="10753" max="10753" width="43.28515625" style="22" customWidth="1"/>
    <col min="10754" max="10755" width="9.140625" style="22" customWidth="1"/>
    <col min="10756" max="10756" width="9" style="22" customWidth="1"/>
    <col min="10757" max="10773" width="10.42578125" style="22" customWidth="1"/>
    <col min="10774" max="10774" width="9.5703125" style="22" bestFit="1" customWidth="1"/>
    <col min="10775" max="10775" width="9.140625" style="22" bestFit="1"/>
    <col min="10776" max="11008" width="9.140625" style="22"/>
    <col min="11009" max="11009" width="43.28515625" style="22" customWidth="1"/>
    <col min="11010" max="11011" width="9.140625" style="22" customWidth="1"/>
    <col min="11012" max="11012" width="9" style="22" customWidth="1"/>
    <col min="11013" max="11029" width="10.42578125" style="22" customWidth="1"/>
    <col min="11030" max="11030" width="9.5703125" style="22" bestFit="1" customWidth="1"/>
    <col min="11031" max="11031" width="9.140625" style="22" bestFit="1"/>
    <col min="11032" max="11264" width="9.140625" style="22"/>
    <col min="11265" max="11265" width="43.28515625" style="22" customWidth="1"/>
    <col min="11266" max="11267" width="9.140625" style="22" customWidth="1"/>
    <col min="11268" max="11268" width="9" style="22" customWidth="1"/>
    <col min="11269" max="11285" width="10.42578125" style="22" customWidth="1"/>
    <col min="11286" max="11286" width="9.5703125" style="22" bestFit="1" customWidth="1"/>
    <col min="11287" max="11287" width="9.140625" style="22" bestFit="1"/>
    <col min="11288" max="11520" width="9.140625" style="22"/>
    <col min="11521" max="11521" width="43.28515625" style="22" customWidth="1"/>
    <col min="11522" max="11523" width="9.140625" style="22" customWidth="1"/>
    <col min="11524" max="11524" width="9" style="22" customWidth="1"/>
    <col min="11525" max="11541" width="10.42578125" style="22" customWidth="1"/>
    <col min="11542" max="11542" width="9.5703125" style="22" bestFit="1" customWidth="1"/>
    <col min="11543" max="11543" width="9.140625" style="22" bestFit="1"/>
    <col min="11544" max="11776" width="9.140625" style="22"/>
    <col min="11777" max="11777" width="43.28515625" style="22" customWidth="1"/>
    <col min="11778" max="11779" width="9.140625" style="22" customWidth="1"/>
    <col min="11780" max="11780" width="9" style="22" customWidth="1"/>
    <col min="11781" max="11797" width="10.42578125" style="22" customWidth="1"/>
    <col min="11798" max="11798" width="9.5703125" style="22" bestFit="1" customWidth="1"/>
    <col min="11799" max="11799" width="9.140625" style="22" bestFit="1"/>
    <col min="11800" max="12032" width="9.140625" style="22"/>
    <col min="12033" max="12033" width="43.28515625" style="22" customWidth="1"/>
    <col min="12034" max="12035" width="9.140625" style="22" customWidth="1"/>
    <col min="12036" max="12036" width="9" style="22" customWidth="1"/>
    <col min="12037" max="12053" width="10.42578125" style="22" customWidth="1"/>
    <col min="12054" max="12054" width="9.5703125" style="22" bestFit="1" customWidth="1"/>
    <col min="12055" max="12055" width="9.140625" style="22" bestFit="1"/>
    <col min="12056" max="12288" width="9.140625" style="22"/>
    <col min="12289" max="12289" width="43.28515625" style="22" customWidth="1"/>
    <col min="12290" max="12291" width="9.140625" style="22" customWidth="1"/>
    <col min="12292" max="12292" width="9" style="22" customWidth="1"/>
    <col min="12293" max="12309" width="10.42578125" style="22" customWidth="1"/>
    <col min="12310" max="12310" width="9.5703125" style="22" bestFit="1" customWidth="1"/>
    <col min="12311" max="12311" width="9.140625" style="22" bestFit="1"/>
    <col min="12312" max="12544" width="9.140625" style="22"/>
    <col min="12545" max="12545" width="43.28515625" style="22" customWidth="1"/>
    <col min="12546" max="12547" width="9.140625" style="22" customWidth="1"/>
    <col min="12548" max="12548" width="9" style="22" customWidth="1"/>
    <col min="12549" max="12565" width="10.42578125" style="22" customWidth="1"/>
    <col min="12566" max="12566" width="9.5703125" style="22" bestFit="1" customWidth="1"/>
    <col min="12567" max="12567" width="9.140625" style="22" bestFit="1"/>
    <col min="12568" max="12800" width="9.140625" style="22"/>
    <col min="12801" max="12801" width="43.28515625" style="22" customWidth="1"/>
    <col min="12802" max="12803" width="9.140625" style="22" customWidth="1"/>
    <col min="12804" max="12804" width="9" style="22" customWidth="1"/>
    <col min="12805" max="12821" width="10.42578125" style="22" customWidth="1"/>
    <col min="12822" max="12822" width="9.5703125" style="22" bestFit="1" customWidth="1"/>
    <col min="12823" max="12823" width="9.140625" style="22" bestFit="1"/>
    <col min="12824" max="13056" width="9.140625" style="22"/>
    <col min="13057" max="13057" width="43.28515625" style="22" customWidth="1"/>
    <col min="13058" max="13059" width="9.140625" style="22" customWidth="1"/>
    <col min="13060" max="13060" width="9" style="22" customWidth="1"/>
    <col min="13061" max="13077" width="10.42578125" style="22" customWidth="1"/>
    <col min="13078" max="13078" width="9.5703125" style="22" bestFit="1" customWidth="1"/>
    <col min="13079" max="13079" width="9.140625" style="22" bestFit="1"/>
    <col min="13080" max="13312" width="9.140625" style="22"/>
    <col min="13313" max="13313" width="43.28515625" style="22" customWidth="1"/>
    <col min="13314" max="13315" width="9.140625" style="22" customWidth="1"/>
    <col min="13316" max="13316" width="9" style="22" customWidth="1"/>
    <col min="13317" max="13333" width="10.42578125" style="22" customWidth="1"/>
    <col min="13334" max="13334" width="9.5703125" style="22" bestFit="1" customWidth="1"/>
    <col min="13335" max="13335" width="9.140625" style="22" bestFit="1"/>
    <col min="13336" max="13568" width="9.140625" style="22"/>
    <col min="13569" max="13569" width="43.28515625" style="22" customWidth="1"/>
    <col min="13570" max="13571" width="9.140625" style="22" customWidth="1"/>
    <col min="13572" max="13572" width="9" style="22" customWidth="1"/>
    <col min="13573" max="13589" width="10.42578125" style="22" customWidth="1"/>
    <col min="13590" max="13590" width="9.5703125" style="22" bestFit="1" customWidth="1"/>
    <col min="13591" max="13591" width="9.140625" style="22" bestFit="1"/>
    <col min="13592" max="13824" width="9.140625" style="22"/>
    <col min="13825" max="13825" width="43.28515625" style="22" customWidth="1"/>
    <col min="13826" max="13827" width="9.140625" style="22" customWidth="1"/>
    <col min="13828" max="13828" width="9" style="22" customWidth="1"/>
    <col min="13829" max="13845" width="10.42578125" style="22" customWidth="1"/>
    <col min="13846" max="13846" width="9.5703125" style="22" bestFit="1" customWidth="1"/>
    <col min="13847" max="13847" width="9.140625" style="22" bestFit="1"/>
    <col min="13848" max="14080" width="9.140625" style="22"/>
    <col min="14081" max="14081" width="43.28515625" style="22" customWidth="1"/>
    <col min="14082" max="14083" width="9.140625" style="22" customWidth="1"/>
    <col min="14084" max="14084" width="9" style="22" customWidth="1"/>
    <col min="14085" max="14101" width="10.42578125" style="22" customWidth="1"/>
    <col min="14102" max="14102" width="9.5703125" style="22" bestFit="1" customWidth="1"/>
    <col min="14103" max="14103" width="9.140625" style="22" bestFit="1"/>
    <col min="14104" max="14336" width="9.140625" style="22"/>
    <col min="14337" max="14337" width="43.28515625" style="22" customWidth="1"/>
    <col min="14338" max="14339" width="9.140625" style="22" customWidth="1"/>
    <col min="14340" max="14340" width="9" style="22" customWidth="1"/>
    <col min="14341" max="14357" width="10.42578125" style="22" customWidth="1"/>
    <col min="14358" max="14358" width="9.5703125" style="22" bestFit="1" customWidth="1"/>
    <col min="14359" max="14359" width="9.140625" style="22" bestFit="1"/>
    <col min="14360" max="14592" width="9.140625" style="22"/>
    <col min="14593" max="14593" width="43.28515625" style="22" customWidth="1"/>
    <col min="14594" max="14595" width="9.140625" style="22" customWidth="1"/>
    <col min="14596" max="14596" width="9" style="22" customWidth="1"/>
    <col min="14597" max="14613" width="10.42578125" style="22" customWidth="1"/>
    <col min="14614" max="14614" width="9.5703125" style="22" bestFit="1" customWidth="1"/>
    <col min="14615" max="14615" width="9.140625" style="22" bestFit="1"/>
    <col min="14616" max="14848" width="9.140625" style="22"/>
    <col min="14849" max="14849" width="43.28515625" style="22" customWidth="1"/>
    <col min="14850" max="14851" width="9.140625" style="22" customWidth="1"/>
    <col min="14852" max="14852" width="9" style="22" customWidth="1"/>
    <col min="14853" max="14869" width="10.42578125" style="22" customWidth="1"/>
    <col min="14870" max="14870" width="9.5703125" style="22" bestFit="1" customWidth="1"/>
    <col min="14871" max="14871" width="9.140625" style="22" bestFit="1"/>
    <col min="14872" max="15104" width="9.140625" style="22"/>
    <col min="15105" max="15105" width="43.28515625" style="22" customWidth="1"/>
    <col min="15106" max="15107" width="9.140625" style="22" customWidth="1"/>
    <col min="15108" max="15108" width="9" style="22" customWidth="1"/>
    <col min="15109" max="15125" width="10.42578125" style="22" customWidth="1"/>
    <col min="15126" max="15126" width="9.5703125" style="22" bestFit="1" customWidth="1"/>
    <col min="15127" max="15127" width="9.140625" style="22" bestFit="1"/>
    <col min="15128" max="15360" width="9.140625" style="22"/>
    <col min="15361" max="15361" width="43.28515625" style="22" customWidth="1"/>
    <col min="15362" max="15363" width="9.140625" style="22" customWidth="1"/>
    <col min="15364" max="15364" width="9" style="22" customWidth="1"/>
    <col min="15365" max="15381" width="10.42578125" style="22" customWidth="1"/>
    <col min="15382" max="15382" width="9.5703125" style="22" bestFit="1" customWidth="1"/>
    <col min="15383" max="15383" width="9.140625" style="22" bestFit="1"/>
    <col min="15384" max="15616" width="9.140625" style="22"/>
    <col min="15617" max="15617" width="43.28515625" style="22" customWidth="1"/>
    <col min="15618" max="15619" width="9.140625" style="22" customWidth="1"/>
    <col min="15620" max="15620" width="9" style="22" customWidth="1"/>
    <col min="15621" max="15637" width="10.42578125" style="22" customWidth="1"/>
    <col min="15638" max="15638" width="9.5703125" style="22" bestFit="1" customWidth="1"/>
    <col min="15639" max="15639" width="9.140625" style="22" bestFit="1"/>
    <col min="15640" max="15872" width="9.140625" style="22"/>
    <col min="15873" max="15873" width="43.28515625" style="22" customWidth="1"/>
    <col min="15874" max="15875" width="9.140625" style="22" customWidth="1"/>
    <col min="15876" max="15876" width="9" style="22" customWidth="1"/>
    <col min="15877" max="15893" width="10.42578125" style="22" customWidth="1"/>
    <col min="15894" max="15894" width="9.5703125" style="22" bestFit="1" customWidth="1"/>
    <col min="15895" max="15895" width="9.140625" style="22" bestFit="1"/>
    <col min="15896" max="16128" width="9.140625" style="22"/>
    <col min="16129" max="16129" width="43.28515625" style="22" customWidth="1"/>
    <col min="16130" max="16131" width="9.140625" style="22" customWidth="1"/>
    <col min="16132" max="16132" width="9" style="22" customWidth="1"/>
    <col min="16133" max="16149" width="10.42578125" style="22" customWidth="1"/>
    <col min="16150" max="16150" width="9.5703125" style="22" bestFit="1" customWidth="1"/>
    <col min="16151" max="16151" width="9.140625" style="22" bestFit="1"/>
    <col min="16152" max="16384" width="9.140625" style="22"/>
  </cols>
  <sheetData>
    <row r="1" spans="1:26" s="21" customFormat="1" x14ac:dyDescent="0.2">
      <c r="A1" s="20" t="s">
        <v>69</v>
      </c>
    </row>
    <row r="2" spans="1:26" x14ac:dyDescent="0.2">
      <c r="A2" s="22" t="s">
        <v>32</v>
      </c>
      <c r="B2" s="32" t="s">
        <v>33</v>
      </c>
      <c r="C2" s="32" t="s">
        <v>34</v>
      </c>
      <c r="D2" s="32" t="s">
        <v>35</v>
      </c>
      <c r="E2" s="32" t="s">
        <v>36</v>
      </c>
      <c r="F2" s="32" t="s">
        <v>37</v>
      </c>
      <c r="G2" s="32" t="s">
        <v>0</v>
      </c>
      <c r="H2" s="32" t="s">
        <v>1</v>
      </c>
      <c r="I2" s="32" t="s">
        <v>2</v>
      </c>
      <c r="J2" s="32" t="s">
        <v>3</v>
      </c>
      <c r="K2" s="32" t="s">
        <v>4</v>
      </c>
      <c r="L2" s="32" t="s">
        <v>5</v>
      </c>
      <c r="M2" s="32" t="s">
        <v>6</v>
      </c>
      <c r="N2" s="32" t="s">
        <v>7</v>
      </c>
      <c r="O2" s="32" t="s">
        <v>8</v>
      </c>
      <c r="P2" s="32" t="s">
        <v>9</v>
      </c>
      <c r="Q2" s="32" t="s">
        <v>10</v>
      </c>
      <c r="R2" s="32" t="s">
        <v>11</v>
      </c>
      <c r="S2" s="32" t="s">
        <v>12</v>
      </c>
      <c r="T2" s="32" t="s">
        <v>13</v>
      </c>
      <c r="U2" s="32" t="s">
        <v>14</v>
      </c>
      <c r="V2" s="32" t="s">
        <v>15</v>
      </c>
      <c r="W2" s="32" t="s">
        <v>82</v>
      </c>
      <c r="X2" s="32" t="s">
        <v>90</v>
      </c>
      <c r="Y2" s="32" t="s">
        <v>91</v>
      </c>
      <c r="Z2" s="32" t="s">
        <v>92</v>
      </c>
    </row>
    <row r="4" spans="1:26" s="21" customFormat="1" x14ac:dyDescent="0.2">
      <c r="B4" s="23"/>
      <c r="C4" s="20"/>
      <c r="D4" s="24"/>
      <c r="E4" s="24"/>
      <c r="F4" s="24"/>
      <c r="G4" s="24"/>
      <c r="H4" s="24"/>
      <c r="I4" s="24"/>
      <c r="J4" s="25"/>
      <c r="K4" s="25"/>
      <c r="L4" s="25"/>
      <c r="M4" s="25"/>
      <c r="N4" s="25"/>
      <c r="O4" s="25"/>
      <c r="P4" s="25"/>
      <c r="Q4" s="25"/>
    </row>
    <row r="5" spans="1:26" x14ac:dyDescent="0.2">
      <c r="B5" s="42" t="s">
        <v>68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7" spans="1:26" x14ac:dyDescent="0.2">
      <c r="A7" s="26" t="s">
        <v>38</v>
      </c>
      <c r="B7" s="27">
        <v>2216.1190000000001</v>
      </c>
      <c r="C7" s="27">
        <v>2179.6779999999999</v>
      </c>
      <c r="D7" s="27">
        <v>1527.7819999999999</v>
      </c>
      <c r="E7" s="27">
        <v>1670</v>
      </c>
      <c r="F7" s="27">
        <v>1897.33</v>
      </c>
      <c r="G7" s="27">
        <v>1331.6479999999999</v>
      </c>
      <c r="H7" s="27">
        <v>1697.5260000000001</v>
      </c>
      <c r="I7" s="27">
        <v>1799</v>
      </c>
      <c r="J7" s="27">
        <v>1664.172</v>
      </c>
      <c r="K7" s="27">
        <v>1534.1020000000001</v>
      </c>
      <c r="L7" s="27">
        <v>1498.15</v>
      </c>
      <c r="M7" s="27">
        <v>1378.0129999999999</v>
      </c>
      <c r="N7" s="27">
        <v>1979.2809999999999</v>
      </c>
      <c r="O7" s="27">
        <f>N49</f>
        <v>2158.4389999999999</v>
      </c>
      <c r="P7" s="27">
        <v>1809.7190000000001</v>
      </c>
      <c r="Q7" s="27">
        <f t="shared" ref="Q7:V7" si="0">P49</f>
        <v>1815.2360000000026</v>
      </c>
      <c r="R7" s="27">
        <f t="shared" si="0"/>
        <v>2053.8960000000043</v>
      </c>
      <c r="S7" s="27">
        <f t="shared" si="0"/>
        <v>1875.9570000000058</v>
      </c>
      <c r="T7" s="27">
        <f t="shared" si="0"/>
        <v>2007.868000000004</v>
      </c>
      <c r="U7" s="27">
        <f t="shared" si="0"/>
        <v>1782.5150000000049</v>
      </c>
      <c r="V7" s="27">
        <f t="shared" si="0"/>
        <v>1617.5890000000054</v>
      </c>
      <c r="W7" s="27">
        <f>V49</f>
        <v>1703.8293735902098</v>
      </c>
      <c r="X7" s="27">
        <f>W49</f>
        <v>1820.2</v>
      </c>
      <c r="Y7" s="41">
        <f>X49</f>
        <v>1842.5049999999992</v>
      </c>
      <c r="Z7" s="27">
        <f>Y49</f>
        <v>2162.0863093827138</v>
      </c>
    </row>
    <row r="8" spans="1:26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S8" s="27"/>
      <c r="T8" s="27"/>
      <c r="W8" s="27"/>
    </row>
    <row r="9" spans="1:26" x14ac:dyDescent="0.2">
      <c r="A9" s="26" t="s">
        <v>39</v>
      </c>
      <c r="B9" s="27">
        <f>SUM(B10:B11)</f>
        <v>8768.887999999999</v>
      </c>
      <c r="C9" s="27">
        <f>SUM(C10:C11)</f>
        <v>7900.067</v>
      </c>
      <c r="D9" s="27">
        <f>SUM(D10:D11)</f>
        <v>8425.6769999999997</v>
      </c>
      <c r="E9" s="27">
        <f>SUM(E10:E11)</f>
        <v>8649.1679999999997</v>
      </c>
      <c r="F9" s="27">
        <f t="shared" ref="F9:R9" si="1">SUM(F10:F11)</f>
        <v>7875.9880000000003</v>
      </c>
      <c r="G9" s="27">
        <f t="shared" si="1"/>
        <v>7398.8289999999997</v>
      </c>
      <c r="H9" s="27">
        <f t="shared" si="1"/>
        <v>8445.4009999999998</v>
      </c>
      <c r="I9" s="27">
        <f t="shared" si="1"/>
        <v>8152.1550000000007</v>
      </c>
      <c r="J9" s="27">
        <f t="shared" si="1"/>
        <v>7530.9290000000001</v>
      </c>
      <c r="K9" s="27">
        <f t="shared" si="1"/>
        <v>7962.6380000000008</v>
      </c>
      <c r="L9" s="27">
        <f t="shared" si="1"/>
        <v>7830.683</v>
      </c>
      <c r="M9" s="27">
        <f t="shared" si="1"/>
        <v>8488.0730000000003</v>
      </c>
      <c r="N9" s="27">
        <f t="shared" si="1"/>
        <v>8981.4760000000006</v>
      </c>
      <c r="O9" s="27">
        <f t="shared" si="1"/>
        <v>8461.7260000000006</v>
      </c>
      <c r="P9" s="27">
        <f t="shared" si="1"/>
        <v>8656.1140000000014</v>
      </c>
      <c r="Q9" s="27">
        <f t="shared" si="1"/>
        <v>8988.8729999999996</v>
      </c>
      <c r="R9" s="27">
        <f t="shared" si="1"/>
        <v>8969.5950000000012</v>
      </c>
      <c r="S9" s="27">
        <f>SUM(S10:S11)</f>
        <v>9292.5</v>
      </c>
      <c r="T9" s="27">
        <f>SUM(T10:T11)</f>
        <v>8998.5889999999999</v>
      </c>
      <c r="U9" s="27">
        <f>SUM(U10:U11)</f>
        <v>8148.9599999999991</v>
      </c>
      <c r="V9" s="27">
        <f>SUM(V10:V11)-1</f>
        <v>9232.2180000000008</v>
      </c>
      <c r="W9" s="27">
        <f>SUM(W10:W11)</f>
        <v>9157.2530000000006</v>
      </c>
      <c r="X9" s="27">
        <f>SUM(X10:X11)</f>
        <v>9250.4719999999998</v>
      </c>
      <c r="Y9" s="27">
        <f>SUM(Y10:Y11)</f>
        <v>9368.1850000000013</v>
      </c>
      <c r="Z9" s="27">
        <f>SUM(Z10:Z11)</f>
        <v>9276.4290000000001</v>
      </c>
    </row>
    <row r="10" spans="1:26" x14ac:dyDescent="0.2">
      <c r="A10" s="22" t="s">
        <v>40</v>
      </c>
      <c r="B10" s="27">
        <v>4679.6159999999991</v>
      </c>
      <c r="C10" s="27">
        <v>3915.4549999999999</v>
      </c>
      <c r="D10" s="27">
        <v>4462</v>
      </c>
      <c r="E10" s="27">
        <v>4692.2179999999998</v>
      </c>
      <c r="F10" s="27">
        <v>4610.7730000000001</v>
      </c>
      <c r="G10" s="27">
        <v>4444</v>
      </c>
      <c r="H10" s="27">
        <v>5007.7619999999997</v>
      </c>
      <c r="I10" s="27">
        <v>4720.9030000000002</v>
      </c>
      <c r="J10" s="27">
        <v>4213.5439999999999</v>
      </c>
      <c r="K10" s="27">
        <v>4575.2150000000001</v>
      </c>
      <c r="L10" s="27">
        <v>4658.9470000000001</v>
      </c>
      <c r="M10" s="27">
        <v>4900.4889999999996</v>
      </c>
      <c r="N10" s="27">
        <v>5076.0990000000002</v>
      </c>
      <c r="O10" s="27">
        <v>4794.2629999999999</v>
      </c>
      <c r="P10" s="27">
        <v>4893.3090000000002</v>
      </c>
      <c r="Q10" s="27">
        <v>5119.1090000000004</v>
      </c>
      <c r="R10" s="27">
        <v>5102.9520000000002</v>
      </c>
      <c r="S10" s="27">
        <v>5278.8319999999994</v>
      </c>
      <c r="T10" s="27">
        <v>4938.8130000000001</v>
      </c>
      <c r="U10" s="27">
        <v>4351.2489999999998</v>
      </c>
      <c r="V10" s="27">
        <v>5091.7439999999997</v>
      </c>
      <c r="W10" s="27">
        <v>5155.3890000000001</v>
      </c>
      <c r="X10" s="27">
        <v>5187.4250000000002</v>
      </c>
      <c r="Y10" s="27">
        <v>5235.67</v>
      </c>
      <c r="Z10" s="27">
        <v>5209.96</v>
      </c>
    </row>
    <row r="11" spans="1:26" x14ac:dyDescent="0.2">
      <c r="A11" s="22" t="s">
        <v>41</v>
      </c>
      <c r="B11" s="27">
        <f>SUM(B12:B16)</f>
        <v>4089.2719999999995</v>
      </c>
      <c r="C11" s="27">
        <f>SUM(C12:C16)</f>
        <v>3984.6120000000001</v>
      </c>
      <c r="D11" s="27">
        <f>SUM(D12:D16)</f>
        <v>3963.6770000000006</v>
      </c>
      <c r="E11" s="27">
        <f>SUM(E12:E16)</f>
        <v>3956.95</v>
      </c>
      <c r="F11" s="27">
        <f t="shared" ref="F11:R11" si="2">SUM(F12:F16)</f>
        <v>3265.2150000000001</v>
      </c>
      <c r="G11" s="27">
        <f t="shared" si="2"/>
        <v>2954.8290000000002</v>
      </c>
      <c r="H11" s="27">
        <f t="shared" si="2"/>
        <v>3437.6390000000001</v>
      </c>
      <c r="I11" s="27">
        <f t="shared" si="2"/>
        <v>3431.2520000000004</v>
      </c>
      <c r="J11" s="27">
        <f t="shared" si="2"/>
        <v>3317.3850000000002</v>
      </c>
      <c r="K11" s="27">
        <f t="shared" si="2"/>
        <v>3387.4230000000002</v>
      </c>
      <c r="L11" s="27">
        <f t="shared" si="2"/>
        <v>3171.7359999999999</v>
      </c>
      <c r="M11" s="27">
        <f t="shared" si="2"/>
        <v>3587.5839999999998</v>
      </c>
      <c r="N11" s="27">
        <f t="shared" si="2"/>
        <v>3905.3770000000004</v>
      </c>
      <c r="O11" s="27">
        <f t="shared" si="2"/>
        <v>3667.4630000000002</v>
      </c>
      <c r="P11" s="27">
        <f t="shared" si="2"/>
        <v>3762.8050000000003</v>
      </c>
      <c r="Q11" s="27">
        <f t="shared" si="2"/>
        <v>3869.7639999999997</v>
      </c>
      <c r="R11" s="27">
        <f t="shared" si="2"/>
        <v>3866.643</v>
      </c>
      <c r="S11" s="27">
        <f t="shared" ref="S11:X11" si="3">SUM(S12:S16)</f>
        <v>4013.6679999999997</v>
      </c>
      <c r="T11" s="27">
        <f t="shared" si="3"/>
        <v>4059.7760000000003</v>
      </c>
      <c r="U11" s="27">
        <f t="shared" si="3"/>
        <v>3797.7109999999998</v>
      </c>
      <c r="V11" s="27">
        <f t="shared" si="3"/>
        <v>4141.4740000000002</v>
      </c>
      <c r="W11" s="27">
        <f t="shared" si="3"/>
        <v>4001.8639999999996</v>
      </c>
      <c r="X11" s="27">
        <f t="shared" si="3"/>
        <v>4063.047</v>
      </c>
      <c r="Y11" s="27">
        <f t="shared" ref="Y11:Z11" si="4">SUM(Y12:Y16)</f>
        <v>4132.5150000000003</v>
      </c>
      <c r="Z11" s="27">
        <f t="shared" si="4"/>
        <v>4066.4690000000001</v>
      </c>
    </row>
    <row r="12" spans="1:26" x14ac:dyDescent="0.2">
      <c r="A12" s="22" t="s">
        <v>42</v>
      </c>
      <c r="B12" s="27">
        <v>2056.66</v>
      </c>
      <c r="C12" s="27">
        <v>1980.2809999999999</v>
      </c>
      <c r="D12" s="27">
        <v>2129.1460000000002</v>
      </c>
      <c r="E12" s="27">
        <v>2153.9830000000002</v>
      </c>
      <c r="F12" s="27">
        <v>1692.6020000000001</v>
      </c>
      <c r="G12" s="27">
        <v>1367.4079999999999</v>
      </c>
      <c r="H12" s="27">
        <v>1718.5250000000001</v>
      </c>
      <c r="I12" s="27">
        <v>1645.1120000000001</v>
      </c>
      <c r="J12" s="27">
        <v>1576.973</v>
      </c>
      <c r="K12" s="27">
        <v>1645.769</v>
      </c>
      <c r="L12" s="27">
        <v>1432.635</v>
      </c>
      <c r="M12" s="27">
        <v>1827.77</v>
      </c>
      <c r="N12" s="27">
        <v>1866.93</v>
      </c>
      <c r="O12" s="27">
        <v>1762.789</v>
      </c>
      <c r="P12" s="27">
        <v>1981.2139999999999</v>
      </c>
      <c r="Q12" s="27">
        <v>2172.942</v>
      </c>
      <c r="R12" s="27">
        <v>2054.6669999999999</v>
      </c>
      <c r="S12" s="27">
        <v>1983.056</v>
      </c>
      <c r="T12" s="27">
        <v>2005.2360000000001</v>
      </c>
      <c r="U12" s="27">
        <v>2105.8519999999999</v>
      </c>
      <c r="V12" s="27">
        <v>2090.1480000000001</v>
      </c>
      <c r="W12" s="27">
        <v>1934.4090000000001</v>
      </c>
      <c r="X12" s="27">
        <v>1985.25</v>
      </c>
      <c r="Y12" s="27">
        <v>2077.0520000000001</v>
      </c>
      <c r="Z12" s="27">
        <v>2052.549</v>
      </c>
    </row>
    <row r="13" spans="1:26" x14ac:dyDescent="0.2">
      <c r="A13" s="22" t="s">
        <v>43</v>
      </c>
      <c r="B13" s="27">
        <v>1585.0909999999999</v>
      </c>
      <c r="C13" s="27">
        <v>1579.931</v>
      </c>
      <c r="D13" s="27">
        <v>1367.24</v>
      </c>
      <c r="E13" s="27">
        <v>1377</v>
      </c>
      <c r="F13" s="27">
        <v>1156.7729999999999</v>
      </c>
      <c r="G13" s="27">
        <v>1189.7760000000001</v>
      </c>
      <c r="H13" s="27">
        <v>1320.1489999999999</v>
      </c>
      <c r="I13" s="27">
        <v>1446.212</v>
      </c>
      <c r="J13" s="27">
        <v>1396.903</v>
      </c>
      <c r="K13" s="27">
        <v>1468.758</v>
      </c>
      <c r="L13" s="27">
        <v>1411.1759999999999</v>
      </c>
      <c r="M13" s="27">
        <v>1438.39</v>
      </c>
      <c r="N13" s="27">
        <v>1686</v>
      </c>
      <c r="O13" s="27">
        <v>1591.221</v>
      </c>
      <c r="P13" s="27">
        <v>1512.7380000000001</v>
      </c>
      <c r="Q13" s="27">
        <v>1428.0889999999999</v>
      </c>
      <c r="R13" s="27">
        <v>1628.443</v>
      </c>
      <c r="S13" s="27">
        <v>1861.8259999999998</v>
      </c>
      <c r="T13" s="27">
        <v>1907.248</v>
      </c>
      <c r="U13" s="27">
        <v>1565.624</v>
      </c>
      <c r="V13" s="27">
        <v>1917.8150000000001</v>
      </c>
      <c r="W13" s="27">
        <v>1943.7059999999999</v>
      </c>
      <c r="X13" s="27">
        <v>2001.364</v>
      </c>
      <c r="Y13" s="27">
        <v>2015.7539999999999</v>
      </c>
      <c r="Z13" s="27">
        <v>2013.92</v>
      </c>
    </row>
    <row r="14" spans="1:26" x14ac:dyDescent="0.2">
      <c r="A14" s="22" t="s">
        <v>93</v>
      </c>
      <c r="B14" s="27">
        <v>206.09100000000001</v>
      </c>
      <c r="C14" s="27">
        <v>173.76400000000001</v>
      </c>
      <c r="D14" s="27">
        <v>190.98500000000001</v>
      </c>
      <c r="E14" s="27">
        <v>175.053</v>
      </c>
      <c r="F14" s="27">
        <v>157.95400000000001</v>
      </c>
      <c r="G14" s="27">
        <v>175</v>
      </c>
      <c r="H14" s="27">
        <v>177.39099999999999</v>
      </c>
      <c r="I14" s="27">
        <v>157.58799999999999</v>
      </c>
      <c r="J14" s="27">
        <v>151.93199999999999</v>
      </c>
      <c r="K14" s="27">
        <v>111.65900000000001</v>
      </c>
      <c r="L14" s="27">
        <v>145.79300000000001</v>
      </c>
      <c r="M14" s="27">
        <v>149.81800000000001</v>
      </c>
      <c r="N14" s="27">
        <v>172.97399999999999</v>
      </c>
      <c r="O14" s="27">
        <v>145.34100000000001</v>
      </c>
      <c r="P14" s="27">
        <v>123.273</v>
      </c>
      <c r="Q14" s="27">
        <v>116.41699999999999</v>
      </c>
      <c r="R14" s="27">
        <v>140.33600000000001</v>
      </c>
      <c r="S14" s="27">
        <v>168.786</v>
      </c>
      <c r="T14" s="27">
        <v>147.292</v>
      </c>
      <c r="U14" s="27">
        <v>126.235</v>
      </c>
      <c r="V14" s="27">
        <v>133.511</v>
      </c>
      <c r="W14" s="27">
        <v>123.749</v>
      </c>
      <c r="X14" s="27">
        <v>76.433000000000007</v>
      </c>
      <c r="Y14" s="27">
        <v>39.709000000000003</v>
      </c>
      <c r="Z14" s="27">
        <v>0</v>
      </c>
    </row>
    <row r="15" spans="1:26" x14ac:dyDescent="0.2">
      <c r="A15" s="22" t="s">
        <v>44</v>
      </c>
      <c r="B15" s="27">
        <v>241.39</v>
      </c>
      <c r="C15" s="27">
        <v>250.571</v>
      </c>
      <c r="D15" s="27">
        <v>276.30599999999998</v>
      </c>
      <c r="E15" s="27">
        <v>250.91399999999999</v>
      </c>
      <c r="F15" s="27">
        <v>257.88600000000002</v>
      </c>
      <c r="G15" s="27">
        <v>222.64500000000001</v>
      </c>
      <c r="H15" s="27">
        <v>221.57400000000001</v>
      </c>
      <c r="I15" s="27">
        <v>182.34</v>
      </c>
      <c r="J15" s="27">
        <v>191.577</v>
      </c>
      <c r="K15" s="27">
        <v>161.23699999999999</v>
      </c>
      <c r="L15" s="27">
        <v>182.13200000000001</v>
      </c>
      <c r="M15" s="27">
        <v>171.60599999999999</v>
      </c>
      <c r="N15" s="27">
        <v>179.47300000000001</v>
      </c>
      <c r="O15" s="27">
        <v>168.11199999999999</v>
      </c>
      <c r="P15" s="27">
        <v>145.58000000000001</v>
      </c>
      <c r="Q15" s="27">
        <v>152.316</v>
      </c>
      <c r="R15" s="27">
        <v>43.197000000000003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</row>
    <row r="16" spans="1:26" x14ac:dyDescent="0.2">
      <c r="A16" s="22" t="s">
        <v>45</v>
      </c>
      <c r="B16" s="40">
        <v>0.04</v>
      </c>
      <c r="C16" s="40">
        <v>6.5000000000000002E-2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</row>
    <row r="17" spans="1:27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S17" s="27"/>
      <c r="T17" s="27"/>
      <c r="W17" s="27"/>
      <c r="X17" s="27"/>
      <c r="Y17" s="27"/>
      <c r="Z17" s="27"/>
    </row>
    <row r="18" spans="1:27" x14ac:dyDescent="0.2">
      <c r="A18" s="22" t="s">
        <v>46</v>
      </c>
      <c r="B18" s="28">
        <f>B19+B20+B21</f>
        <v>1590.4349999999999</v>
      </c>
      <c r="C18" s="28">
        <f>C19+C20+C21</f>
        <v>1535.2449999999999</v>
      </c>
      <c r="D18" s="28">
        <f>D19+D20+D21</f>
        <v>1730.367</v>
      </c>
      <c r="E18" s="28">
        <f t="shared" ref="E18:W18" si="5">E19+E20+E21</f>
        <v>1750.4870000000001</v>
      </c>
      <c r="F18" s="28">
        <f t="shared" si="5"/>
        <v>2100</v>
      </c>
      <c r="G18" s="28">
        <f t="shared" si="5"/>
        <v>3443.4</v>
      </c>
      <c r="H18" s="28">
        <f t="shared" si="5"/>
        <v>2079.5810000000001</v>
      </c>
      <c r="I18" s="28">
        <f t="shared" si="5"/>
        <v>2620</v>
      </c>
      <c r="J18" s="28">
        <f t="shared" si="5"/>
        <v>3082</v>
      </c>
      <c r="K18" s="28">
        <f t="shared" si="5"/>
        <v>3319.9139999999998</v>
      </c>
      <c r="L18" s="28">
        <f t="shared" si="5"/>
        <v>3738.29</v>
      </c>
      <c r="M18" s="28">
        <f t="shared" si="5"/>
        <v>3632.0640000000003</v>
      </c>
      <c r="N18" s="28">
        <f t="shared" si="5"/>
        <v>3224.3359999999998</v>
      </c>
      <c r="O18" s="28">
        <f t="shared" si="5"/>
        <v>3741.7530000000002</v>
      </c>
      <c r="P18" s="28">
        <f t="shared" si="5"/>
        <v>3553.2129999999997</v>
      </c>
      <c r="Q18" s="28">
        <f t="shared" si="5"/>
        <v>3340.83</v>
      </c>
      <c r="R18" s="28">
        <f t="shared" si="5"/>
        <v>3243.7380000000003</v>
      </c>
      <c r="S18" s="28">
        <f t="shared" si="5"/>
        <v>3276.9949999999999</v>
      </c>
      <c r="T18" s="28">
        <f t="shared" si="5"/>
        <v>3070.2560000000003</v>
      </c>
      <c r="U18" s="28">
        <f t="shared" si="5"/>
        <v>4165.067</v>
      </c>
      <c r="V18" s="28">
        <f t="shared" si="5"/>
        <v>3221.122373590204</v>
      </c>
      <c r="W18" s="27">
        <f t="shared" si="5"/>
        <v>3645.74329116125</v>
      </c>
      <c r="X18" s="27">
        <f t="shared" ref="X18" si="6">X19+X20+X21</f>
        <v>3614.3609999999999</v>
      </c>
      <c r="Y18" s="27">
        <f>Y19+Y20+Y21</f>
        <v>3765.2185058392088</v>
      </c>
      <c r="Z18" s="27">
        <f>Z19+Z20+Z21</f>
        <v>2580.9030028392085</v>
      </c>
    </row>
    <row r="19" spans="1:27" x14ac:dyDescent="0.2">
      <c r="A19" s="22" t="s">
        <v>47</v>
      </c>
      <c r="B19" s="28">
        <v>1276.9000000000001</v>
      </c>
      <c r="C19" s="27">
        <v>1158.4749999999999</v>
      </c>
      <c r="D19" s="28">
        <v>1210.367</v>
      </c>
      <c r="E19" s="28">
        <v>1226.4870000000001</v>
      </c>
      <c r="F19" s="28">
        <v>1408</v>
      </c>
      <c r="G19" s="28">
        <v>2588.4</v>
      </c>
      <c r="H19" s="28">
        <v>1623.5809999999999</v>
      </c>
      <c r="I19" s="28">
        <v>1354</v>
      </c>
      <c r="J19" s="28">
        <v>1370</v>
      </c>
      <c r="K19" s="28">
        <v>1854.3810000000001</v>
      </c>
      <c r="L19" s="28">
        <v>1721.2570000000001</v>
      </c>
      <c r="M19" s="28">
        <v>1883.431</v>
      </c>
      <c r="N19" s="28">
        <v>957.04399999999998</v>
      </c>
      <c r="O19" s="28">
        <v>1302.0909999999999</v>
      </c>
      <c r="P19" s="28">
        <v>1535.769</v>
      </c>
      <c r="Q19" s="28">
        <v>1619.626</v>
      </c>
      <c r="R19" s="28">
        <v>1611.3610000000001</v>
      </c>
      <c r="S19" s="28">
        <v>1663.366</v>
      </c>
      <c r="T19" s="28">
        <v>1540.92</v>
      </c>
      <c r="U19" s="27">
        <v>2151.6620000000003</v>
      </c>
      <c r="V19" s="27">
        <v>1748.972</v>
      </c>
      <c r="W19" s="27">
        <v>1578.9189999999999</v>
      </c>
      <c r="X19" s="27">
        <v>1862.3039999999999</v>
      </c>
      <c r="Y19" s="27">
        <v>1788.0500000000002</v>
      </c>
      <c r="Z19" s="27">
        <v>1628.16</v>
      </c>
    </row>
    <row r="20" spans="1:27" x14ac:dyDescent="0.2">
      <c r="A20" s="26" t="s">
        <v>48</v>
      </c>
      <c r="B20" s="27">
        <v>237.81</v>
      </c>
      <c r="C20" s="27">
        <v>296</v>
      </c>
      <c r="D20" s="27">
        <v>488</v>
      </c>
      <c r="E20" s="27">
        <v>464</v>
      </c>
      <c r="F20" s="27">
        <v>500</v>
      </c>
      <c r="G20" s="27">
        <v>349</v>
      </c>
      <c r="H20" s="27">
        <v>390</v>
      </c>
      <c r="I20" s="27">
        <v>565</v>
      </c>
      <c r="J20" s="27">
        <v>308</v>
      </c>
      <c r="K20" s="27">
        <v>448.46</v>
      </c>
      <c r="L20" s="27">
        <v>291.113</v>
      </c>
      <c r="M20" s="27">
        <v>664.125</v>
      </c>
      <c r="N20" s="27">
        <v>136.25700000000001</v>
      </c>
      <c r="O20" s="27">
        <v>305</v>
      </c>
      <c r="P20" s="27">
        <v>471.20600000000002</v>
      </c>
      <c r="Q20" s="27">
        <v>395.916</v>
      </c>
      <c r="R20" s="27">
        <v>419.06900000000002</v>
      </c>
      <c r="S20" s="27">
        <v>326.404</v>
      </c>
      <c r="T20" s="27">
        <v>437.68200000000002</v>
      </c>
      <c r="U20" s="27">
        <v>432.40499999999997</v>
      </c>
      <c r="V20" s="27">
        <v>292.41899999999998</v>
      </c>
      <c r="W20" s="27">
        <v>297.90100000000001</v>
      </c>
      <c r="X20" s="27">
        <v>141.47499999999999</v>
      </c>
      <c r="Y20" s="27">
        <v>225.489</v>
      </c>
      <c r="Z20" s="27">
        <v>200</v>
      </c>
    </row>
    <row r="21" spans="1:27" x14ac:dyDescent="0.2">
      <c r="A21" s="22" t="s">
        <v>49</v>
      </c>
      <c r="B21" s="27">
        <f>3.2+72.525</f>
        <v>75.725000000000009</v>
      </c>
      <c r="C21" s="27">
        <f>42.226+38.544</f>
        <v>80.77</v>
      </c>
      <c r="D21" s="27">
        <f>11.758+20.242</f>
        <v>32</v>
      </c>
      <c r="E21" s="27">
        <v>60</v>
      </c>
      <c r="F21" s="27">
        <v>192</v>
      </c>
      <c r="G21" s="27">
        <f>450+56</f>
        <v>506</v>
      </c>
      <c r="H21" s="27">
        <v>66</v>
      </c>
      <c r="I21" s="27">
        <v>701</v>
      </c>
      <c r="J21" s="27">
        <f>J22+2</f>
        <v>1404</v>
      </c>
      <c r="K21" s="27">
        <f>K22+210</f>
        <v>1017.073</v>
      </c>
      <c r="L21" s="27">
        <f>L22+18.39</f>
        <v>1725.92</v>
      </c>
      <c r="M21" s="27">
        <f>M22+13.217</f>
        <v>1084.508</v>
      </c>
      <c r="N21" s="27">
        <f>N22+6.66</f>
        <v>2131.0349999999999</v>
      </c>
      <c r="O21" s="27">
        <v>2134.6620000000003</v>
      </c>
      <c r="P21" s="27">
        <f>P22+14.618</f>
        <v>1546.2379999999998</v>
      </c>
      <c r="Q21" s="27">
        <f>Q22+16.445</f>
        <v>1325.288</v>
      </c>
      <c r="R21" s="27">
        <f>R22+11.83</f>
        <v>1213.308</v>
      </c>
      <c r="S21" s="27">
        <f>S22+63.935</f>
        <v>1287.2249999999999</v>
      </c>
      <c r="T21" s="27">
        <v>1091.654</v>
      </c>
      <c r="U21" s="27">
        <v>1581</v>
      </c>
      <c r="V21" s="27">
        <v>1179.7313735902039</v>
      </c>
      <c r="W21" s="27">
        <v>1768.9232911612501</v>
      </c>
      <c r="X21" s="27">
        <v>1610.5819999999999</v>
      </c>
      <c r="Y21" s="27">
        <f>Y22+Y23</f>
        <v>1751.6795058392086</v>
      </c>
      <c r="Z21" s="27">
        <f>Z22+Z23</f>
        <v>752.74300283920843</v>
      </c>
    </row>
    <row r="22" spans="1:27" x14ac:dyDescent="0.2">
      <c r="A22" s="22" t="s">
        <v>50</v>
      </c>
      <c r="B22" s="28" t="s">
        <v>84</v>
      </c>
      <c r="C22" s="28" t="s">
        <v>84</v>
      </c>
      <c r="D22" s="28" t="s">
        <v>84</v>
      </c>
      <c r="E22" s="28" t="s">
        <v>84</v>
      </c>
      <c r="F22" s="28" t="s">
        <v>84</v>
      </c>
      <c r="G22" s="28" t="s">
        <v>84</v>
      </c>
      <c r="H22" s="27">
        <v>60</v>
      </c>
      <c r="I22" s="27">
        <v>694</v>
      </c>
      <c r="J22" s="27">
        <v>1402</v>
      </c>
      <c r="K22" s="27">
        <v>807.07299999999998</v>
      </c>
      <c r="L22" s="27">
        <v>1707.53</v>
      </c>
      <c r="M22" s="27">
        <v>1071.2909999999999</v>
      </c>
      <c r="N22" s="27">
        <v>2124.375</v>
      </c>
      <c r="O22" s="27">
        <v>2129.6370000000002</v>
      </c>
      <c r="P22" s="27">
        <v>1531.62</v>
      </c>
      <c r="Q22" s="27">
        <v>1308.8430000000001</v>
      </c>
      <c r="R22" s="27">
        <v>1201.4780000000001</v>
      </c>
      <c r="S22" s="27">
        <v>1223.29</v>
      </c>
      <c r="T22" s="27">
        <v>1000.444</v>
      </c>
      <c r="U22" s="27">
        <v>1375.502</v>
      </c>
      <c r="V22" s="27">
        <v>967.87400000000002</v>
      </c>
      <c r="W22" s="27">
        <v>1378.9042911612501</v>
      </c>
      <c r="X22" s="27">
        <v>1155.876</v>
      </c>
      <c r="Y22" s="38">
        <v>521.01300000000003</v>
      </c>
      <c r="Z22" s="38">
        <v>394.96249999999969</v>
      </c>
    </row>
    <row r="23" spans="1:27" x14ac:dyDescent="0.2">
      <c r="A23" s="36" t="s">
        <v>102</v>
      </c>
      <c r="B23" s="28" t="s">
        <v>84</v>
      </c>
      <c r="C23" s="28" t="s">
        <v>84</v>
      </c>
      <c r="D23" s="28" t="s">
        <v>84</v>
      </c>
      <c r="E23" s="28" t="s">
        <v>84</v>
      </c>
      <c r="F23" s="28" t="s">
        <v>84</v>
      </c>
      <c r="G23" s="28" t="s">
        <v>84</v>
      </c>
      <c r="H23" s="27">
        <f t="shared" ref="H23:S23" si="7">H21-H22</f>
        <v>6</v>
      </c>
      <c r="I23" s="27">
        <f t="shared" si="7"/>
        <v>7</v>
      </c>
      <c r="J23" s="27">
        <f t="shared" si="7"/>
        <v>2</v>
      </c>
      <c r="K23" s="27">
        <f t="shared" si="7"/>
        <v>210</v>
      </c>
      <c r="L23" s="27">
        <f t="shared" si="7"/>
        <v>18.3900000000001</v>
      </c>
      <c r="M23" s="27">
        <f t="shared" si="7"/>
        <v>13.217000000000098</v>
      </c>
      <c r="N23" s="27">
        <f t="shared" si="7"/>
        <v>6.6599999999998545</v>
      </c>
      <c r="O23" s="27">
        <f t="shared" si="7"/>
        <v>5.0250000000000909</v>
      </c>
      <c r="P23" s="27">
        <f t="shared" si="7"/>
        <v>14.617999999999938</v>
      </c>
      <c r="Q23" s="27">
        <f t="shared" si="7"/>
        <v>16.444999999999936</v>
      </c>
      <c r="R23" s="27">
        <f t="shared" si="7"/>
        <v>11.829999999999927</v>
      </c>
      <c r="S23" s="27">
        <f t="shared" si="7"/>
        <v>63.934999999999945</v>
      </c>
      <c r="T23" s="27">
        <f>T21-T22</f>
        <v>91.210000000000036</v>
      </c>
      <c r="U23" s="27">
        <f>U21-U22</f>
        <v>205.49800000000005</v>
      </c>
      <c r="V23" s="27">
        <f t="shared" ref="V23:X23" si="8">V21-V22</f>
        <v>211.85737359020391</v>
      </c>
      <c r="W23" s="27">
        <f t="shared" si="8"/>
        <v>390.01900000000001</v>
      </c>
      <c r="X23" s="27">
        <f>X21-X22</f>
        <v>454.7059999999999</v>
      </c>
      <c r="Y23" s="27">
        <f>Y24+Y27</f>
        <v>1230.6665058392086</v>
      </c>
      <c r="Z23" s="27">
        <f>Z24+Z27</f>
        <v>357.78050283920868</v>
      </c>
    </row>
    <row r="24" spans="1:27" x14ac:dyDescent="0.2">
      <c r="A24" s="36" t="s">
        <v>94</v>
      </c>
      <c r="B24" s="28" t="s">
        <v>84</v>
      </c>
      <c r="C24" s="28" t="s">
        <v>84</v>
      </c>
      <c r="D24" s="28" t="s">
        <v>84</v>
      </c>
      <c r="E24" s="28" t="s">
        <v>84</v>
      </c>
      <c r="F24" s="28" t="s">
        <v>84</v>
      </c>
      <c r="G24" s="28" t="s">
        <v>84</v>
      </c>
      <c r="H24" s="28">
        <v>6</v>
      </c>
      <c r="I24" s="28">
        <v>7</v>
      </c>
      <c r="J24" s="28">
        <v>2</v>
      </c>
      <c r="K24" s="28">
        <v>210</v>
      </c>
      <c r="L24" s="28">
        <v>18.3900000000001</v>
      </c>
      <c r="M24" s="28">
        <v>13.217000000000098</v>
      </c>
      <c r="N24" s="28">
        <v>6.6599999999998545</v>
      </c>
      <c r="O24" s="28">
        <v>5.0250000000000909</v>
      </c>
      <c r="P24" s="28">
        <v>14.617999999999938</v>
      </c>
      <c r="Q24" s="28">
        <v>16.444999999999936</v>
      </c>
      <c r="R24" s="28">
        <v>11.829999999999927</v>
      </c>
      <c r="S24" s="28">
        <v>63.934999999999945</v>
      </c>
      <c r="T24" s="28">
        <v>91.210000000000036</v>
      </c>
      <c r="U24" s="28">
        <v>205.49800000000005</v>
      </c>
      <c r="V24" s="28">
        <v>211.85737359020399</v>
      </c>
      <c r="W24" s="27">
        <f t="shared" ref="W24:Z24" si="9">W25+W26</f>
        <v>390.01900000000001</v>
      </c>
      <c r="X24" s="27">
        <f t="shared" si="9"/>
        <v>454.70599999999996</v>
      </c>
      <c r="Y24" s="27">
        <f>Y25+Y26</f>
        <v>1176.0219999999999</v>
      </c>
      <c r="Z24" s="27">
        <f>Z25+Z26</f>
        <v>303.13599699999997</v>
      </c>
      <c r="AA24" s="27"/>
    </row>
    <row r="25" spans="1:27" x14ac:dyDescent="0.2">
      <c r="A25" s="36" t="s">
        <v>100</v>
      </c>
      <c r="B25" s="28" t="s">
        <v>84</v>
      </c>
      <c r="C25" s="28" t="s">
        <v>84</v>
      </c>
      <c r="D25" s="28" t="s">
        <v>84</v>
      </c>
      <c r="E25" s="28" t="s">
        <v>84</v>
      </c>
      <c r="F25" s="28" t="s">
        <v>84</v>
      </c>
      <c r="G25" s="28" t="s">
        <v>84</v>
      </c>
      <c r="H25" s="28" t="s">
        <v>84</v>
      </c>
      <c r="I25" s="28" t="s">
        <v>84</v>
      </c>
      <c r="J25" s="28" t="s">
        <v>84</v>
      </c>
      <c r="K25" s="28" t="s">
        <v>84</v>
      </c>
      <c r="L25" s="28" t="s">
        <v>84</v>
      </c>
      <c r="M25" s="28" t="s">
        <v>84</v>
      </c>
      <c r="N25" s="28" t="s">
        <v>84</v>
      </c>
      <c r="O25" s="28" t="s">
        <v>84</v>
      </c>
      <c r="P25" s="28" t="s">
        <v>84</v>
      </c>
      <c r="Q25" s="28" t="s">
        <v>84</v>
      </c>
      <c r="R25" s="28" t="s">
        <v>84</v>
      </c>
      <c r="S25" s="28" t="s">
        <v>84</v>
      </c>
      <c r="T25" s="28" t="s">
        <v>84</v>
      </c>
      <c r="U25" s="28" t="s">
        <v>84</v>
      </c>
      <c r="V25" s="28" t="s">
        <v>84</v>
      </c>
      <c r="W25" s="28">
        <v>249.2</v>
      </c>
      <c r="X25" s="28">
        <v>194.90199999999999</v>
      </c>
      <c r="Y25" s="27">
        <v>886.53909999999996</v>
      </c>
      <c r="Z25" s="27">
        <v>42.601387000000003</v>
      </c>
      <c r="AA25" s="27"/>
    </row>
    <row r="26" spans="1:27" x14ac:dyDescent="0.2">
      <c r="A26" s="36" t="s">
        <v>101</v>
      </c>
      <c r="B26" s="28" t="s">
        <v>84</v>
      </c>
      <c r="C26" s="28" t="s">
        <v>84</v>
      </c>
      <c r="D26" s="28" t="s">
        <v>84</v>
      </c>
      <c r="E26" s="28" t="s">
        <v>84</v>
      </c>
      <c r="F26" s="28" t="s">
        <v>84</v>
      </c>
      <c r="G26" s="28" t="s">
        <v>84</v>
      </c>
      <c r="H26" s="28" t="s">
        <v>84</v>
      </c>
      <c r="I26" s="28" t="s">
        <v>84</v>
      </c>
      <c r="J26" s="28" t="s">
        <v>84</v>
      </c>
      <c r="K26" s="28" t="s">
        <v>84</v>
      </c>
      <c r="L26" s="28" t="s">
        <v>84</v>
      </c>
      <c r="M26" s="28" t="s">
        <v>84</v>
      </c>
      <c r="N26" s="28" t="s">
        <v>84</v>
      </c>
      <c r="O26" s="28" t="s">
        <v>84</v>
      </c>
      <c r="P26" s="28" t="s">
        <v>84</v>
      </c>
      <c r="Q26" s="28" t="s">
        <v>84</v>
      </c>
      <c r="R26" s="28" t="s">
        <v>84</v>
      </c>
      <c r="S26" s="28" t="s">
        <v>84</v>
      </c>
      <c r="T26" s="28" t="s">
        <v>84</v>
      </c>
      <c r="U26" s="28" t="s">
        <v>84</v>
      </c>
      <c r="V26" s="28" t="s">
        <v>84</v>
      </c>
      <c r="W26" s="28">
        <v>140.81899999999999</v>
      </c>
      <c r="X26" s="28">
        <v>259.80399999999997</v>
      </c>
      <c r="Y26" s="27">
        <v>289.48289999999997</v>
      </c>
      <c r="Z26" s="27">
        <v>260.53460999999999</v>
      </c>
      <c r="AA26" s="27"/>
    </row>
    <row r="27" spans="1:27" x14ac:dyDescent="0.2">
      <c r="A27" s="36" t="s">
        <v>103</v>
      </c>
      <c r="B27" s="28" t="s">
        <v>84</v>
      </c>
      <c r="C27" s="28" t="s">
        <v>84</v>
      </c>
      <c r="D27" s="28" t="s">
        <v>84</v>
      </c>
      <c r="E27" s="28" t="s">
        <v>84</v>
      </c>
      <c r="F27" s="28" t="s">
        <v>84</v>
      </c>
      <c r="G27" s="28" t="s">
        <v>84</v>
      </c>
      <c r="H27" s="28" t="s">
        <v>84</v>
      </c>
      <c r="I27" s="28" t="s">
        <v>84</v>
      </c>
      <c r="J27" s="28" t="s">
        <v>84</v>
      </c>
      <c r="K27" s="28" t="s">
        <v>84</v>
      </c>
      <c r="L27" s="28" t="s">
        <v>84</v>
      </c>
      <c r="M27" s="28" t="s">
        <v>84</v>
      </c>
      <c r="N27" s="28" t="s">
        <v>84</v>
      </c>
      <c r="O27" s="28" t="s">
        <v>84</v>
      </c>
      <c r="P27" s="28" t="s">
        <v>84</v>
      </c>
      <c r="Q27" s="28" t="s">
        <v>84</v>
      </c>
      <c r="R27" s="28" t="s">
        <v>84</v>
      </c>
      <c r="S27" s="28" t="s">
        <v>84</v>
      </c>
      <c r="T27" s="28" t="s">
        <v>84</v>
      </c>
      <c r="U27" s="28" t="s">
        <v>84</v>
      </c>
      <c r="V27" s="28" t="s">
        <v>84</v>
      </c>
      <c r="W27" s="28" t="s">
        <v>84</v>
      </c>
      <c r="X27" s="28" t="s">
        <v>84</v>
      </c>
      <c r="Y27" s="27">
        <v>54.644505839208705</v>
      </c>
      <c r="Z27" s="27">
        <v>54.644505839208705</v>
      </c>
      <c r="AA27" s="27"/>
    </row>
    <row r="28" spans="1:27" x14ac:dyDescent="0.2">
      <c r="A28" s="22" t="s">
        <v>51</v>
      </c>
      <c r="B28" s="27">
        <f t="shared" ref="B28:X28" si="10">B7+B9+B18</f>
        <v>12575.441999999999</v>
      </c>
      <c r="C28" s="27">
        <f t="shared" si="10"/>
        <v>11614.989999999998</v>
      </c>
      <c r="D28" s="27">
        <f t="shared" si="10"/>
        <v>11683.825999999999</v>
      </c>
      <c r="E28" s="27">
        <f t="shared" si="10"/>
        <v>12069.654999999999</v>
      </c>
      <c r="F28" s="27">
        <f t="shared" si="10"/>
        <v>11873.317999999999</v>
      </c>
      <c r="G28" s="27">
        <f t="shared" si="10"/>
        <v>12173.876999999999</v>
      </c>
      <c r="H28" s="27">
        <f t="shared" si="10"/>
        <v>12222.508</v>
      </c>
      <c r="I28" s="27">
        <f t="shared" si="10"/>
        <v>12571.155000000001</v>
      </c>
      <c r="J28" s="27">
        <f t="shared" si="10"/>
        <v>12277.101000000001</v>
      </c>
      <c r="K28" s="27">
        <f t="shared" si="10"/>
        <v>12816.654000000002</v>
      </c>
      <c r="L28" s="27">
        <f t="shared" si="10"/>
        <v>13067.123</v>
      </c>
      <c r="M28" s="27">
        <f t="shared" si="10"/>
        <v>13498.15</v>
      </c>
      <c r="N28" s="27">
        <f t="shared" si="10"/>
        <v>14185.093000000001</v>
      </c>
      <c r="O28" s="27">
        <f t="shared" si="10"/>
        <v>14361.918000000001</v>
      </c>
      <c r="P28" s="27">
        <f t="shared" si="10"/>
        <v>14019.046000000002</v>
      </c>
      <c r="Q28" s="27">
        <f t="shared" si="10"/>
        <v>14144.939000000002</v>
      </c>
      <c r="R28" s="27">
        <f t="shared" si="10"/>
        <v>14267.229000000007</v>
      </c>
      <c r="S28" s="27">
        <f t="shared" si="10"/>
        <v>14445.452000000005</v>
      </c>
      <c r="T28" s="27">
        <f t="shared" si="10"/>
        <v>14076.713000000003</v>
      </c>
      <c r="U28" s="27">
        <f t="shared" si="10"/>
        <v>14096.542000000005</v>
      </c>
      <c r="V28" s="27">
        <f t="shared" si="10"/>
        <v>14070.92937359021</v>
      </c>
      <c r="W28" s="27">
        <f>W7+W9+W18</f>
        <v>14506.825664751461</v>
      </c>
      <c r="X28" s="27">
        <f t="shared" si="10"/>
        <v>14685.032999999999</v>
      </c>
      <c r="Y28" s="27">
        <f>Y7+Y9+Y18</f>
        <v>14975.908505839208</v>
      </c>
      <c r="Z28" s="27">
        <f>Z7+Z9+Z18</f>
        <v>14019.418312221922</v>
      </c>
    </row>
    <row r="29" spans="1:27" x14ac:dyDescent="0.2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S29" s="27"/>
      <c r="T29" s="27"/>
      <c r="W29" s="27"/>
    </row>
    <row r="30" spans="1:27" x14ac:dyDescent="0.2">
      <c r="A30" s="22" t="s">
        <v>52</v>
      </c>
      <c r="B30" s="27">
        <f t="shared" ref="B30:H30" si="11">B31+B32+B33+B34</f>
        <v>140.90899999999999</v>
      </c>
      <c r="C30" s="27">
        <f t="shared" si="11"/>
        <v>137.37700000000001</v>
      </c>
      <c r="D30" s="27">
        <f t="shared" si="11"/>
        <v>141.69499999999999</v>
      </c>
      <c r="E30" s="27">
        <f t="shared" si="11"/>
        <v>288</v>
      </c>
      <c r="F30" s="27">
        <f t="shared" si="11"/>
        <v>259.02999999999997</v>
      </c>
      <c r="G30" s="27">
        <f t="shared" si="11"/>
        <v>203</v>
      </c>
      <c r="H30" s="27">
        <f t="shared" si="11"/>
        <v>421.74099999999999</v>
      </c>
      <c r="I30" s="27">
        <f>I31+I32+I33+I34</f>
        <v>203.34299999999999</v>
      </c>
      <c r="J30" s="27">
        <f>J31+J32+J33+J34</f>
        <v>135.935</v>
      </c>
      <c r="K30" s="27">
        <f>K31+K32+K33+K34</f>
        <v>210.815</v>
      </c>
      <c r="L30" s="27">
        <f>L31+L32+L33+L34</f>
        <v>248.233</v>
      </c>
      <c r="M30" s="27">
        <f>M31+M32+M33+M34</f>
        <v>269.411</v>
      </c>
      <c r="N30" s="27">
        <v>274.10000000000002</v>
      </c>
      <c r="O30" s="27">
        <f>O31+O32+O33+O34</f>
        <v>306.22300000000001</v>
      </c>
      <c r="P30" s="27">
        <v>184.87599999999998</v>
      </c>
      <c r="Q30" s="27">
        <v>73.563999999999993</v>
      </c>
      <c r="R30" s="27">
        <v>94.721000000000004</v>
      </c>
      <c r="S30" s="27">
        <v>169.94300000000001</v>
      </c>
      <c r="T30" s="27">
        <v>34.604999999999997</v>
      </c>
      <c r="U30" s="27">
        <v>61.015999999999998</v>
      </c>
      <c r="V30" s="27">
        <f>V31</f>
        <v>49.496000000000002</v>
      </c>
      <c r="W30" s="27">
        <f>W31</f>
        <v>28.940999999999999</v>
      </c>
      <c r="X30" s="27">
        <f>X31</f>
        <v>82.486000000000004</v>
      </c>
      <c r="Y30" s="27">
        <f>Y31</f>
        <v>249.23099999999999</v>
      </c>
      <c r="Z30" s="27">
        <v>100</v>
      </c>
    </row>
    <row r="31" spans="1:27" x14ac:dyDescent="0.2">
      <c r="A31" s="22" t="s">
        <v>53</v>
      </c>
      <c r="B31" s="27">
        <v>140.90899999999999</v>
      </c>
      <c r="C31" s="27">
        <v>137.37700000000001</v>
      </c>
      <c r="D31" s="27">
        <v>141.69499999999999</v>
      </c>
      <c r="E31" s="27">
        <v>288</v>
      </c>
      <c r="F31" s="27">
        <v>259.02999999999997</v>
      </c>
      <c r="G31" s="27">
        <v>203</v>
      </c>
      <c r="H31" s="27">
        <v>421.74099999999999</v>
      </c>
      <c r="I31" s="27">
        <v>203.34299999999999</v>
      </c>
      <c r="J31" s="27">
        <v>135.935</v>
      </c>
      <c r="K31" s="27">
        <v>210.815</v>
      </c>
      <c r="L31" s="27">
        <v>248.233</v>
      </c>
      <c r="M31" s="27">
        <v>269.411</v>
      </c>
      <c r="N31" s="27">
        <v>274.10000000000002</v>
      </c>
      <c r="O31" s="27">
        <v>306.22300000000001</v>
      </c>
      <c r="P31" s="27">
        <v>184.87599999999998</v>
      </c>
      <c r="Q31" s="27">
        <v>73.563999999999993</v>
      </c>
      <c r="R31" s="27">
        <v>94.721000000000004</v>
      </c>
      <c r="S31" s="27">
        <v>169.94300000000001</v>
      </c>
      <c r="T31" s="27">
        <v>34.604999999999997</v>
      </c>
      <c r="U31" s="27">
        <v>61.015999999999998</v>
      </c>
      <c r="V31" s="27">
        <v>49.496000000000002</v>
      </c>
      <c r="W31" s="27">
        <v>28.940999999999999</v>
      </c>
      <c r="X31" s="27">
        <v>82.486000000000004</v>
      </c>
      <c r="Y31" s="27">
        <v>249.23099999999999</v>
      </c>
      <c r="Z31" s="27">
        <v>197.63400000000001</v>
      </c>
    </row>
    <row r="32" spans="1:27" x14ac:dyDescent="0.2">
      <c r="A32" s="22" t="s">
        <v>54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</row>
    <row r="33" spans="1:26" x14ac:dyDescent="0.2">
      <c r="A33" s="22" t="s">
        <v>81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</row>
    <row r="34" spans="1:26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S34" s="27"/>
      <c r="T34" s="27"/>
      <c r="W34" s="27"/>
    </row>
    <row r="35" spans="1:26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S35" s="27"/>
      <c r="T35" s="27"/>
      <c r="W35" s="27"/>
    </row>
    <row r="36" spans="1:26" x14ac:dyDescent="0.2">
      <c r="A36" s="22" t="s">
        <v>55</v>
      </c>
      <c r="B36" s="27">
        <f t="shared" ref="B36:X36" si="12">B37+B38+B39</f>
        <v>123.29700000000048</v>
      </c>
      <c r="C36" s="27">
        <f t="shared" si="12"/>
        <v>-23.707000000002154</v>
      </c>
      <c r="D36" s="27">
        <f t="shared" si="12"/>
        <v>160.875</v>
      </c>
      <c r="E36" s="27">
        <f t="shared" si="12"/>
        <v>22.585999999999331</v>
      </c>
      <c r="F36" s="27">
        <f t="shared" si="12"/>
        <v>94.145999999998821</v>
      </c>
      <c r="G36" s="27">
        <f t="shared" si="12"/>
        <v>-67.454000000001543</v>
      </c>
      <c r="H36" s="27">
        <f t="shared" si="12"/>
        <v>-132.378999999999</v>
      </c>
      <c r="I36" s="27">
        <f t="shared" si="12"/>
        <v>0</v>
      </c>
      <c r="J36" s="27">
        <f t="shared" si="12"/>
        <v>0</v>
      </c>
      <c r="K36" s="27">
        <f t="shared" si="12"/>
        <v>-44.653999999996813</v>
      </c>
      <c r="L36" s="27">
        <f t="shared" si="12"/>
        <v>19.01299999999901</v>
      </c>
      <c r="M36" s="27">
        <f t="shared" si="12"/>
        <v>-63.993000000000393</v>
      </c>
      <c r="N36" s="27">
        <f t="shared" si="12"/>
        <v>-22.947999999999865</v>
      </c>
      <c r="O36" s="27">
        <f t="shared" si="12"/>
        <v>0</v>
      </c>
      <c r="P36" s="27">
        <f t="shared" si="12"/>
        <v>0</v>
      </c>
      <c r="Q36" s="27">
        <f t="shared" si="12"/>
        <v>-33.216000000001486</v>
      </c>
      <c r="R36" s="27">
        <f t="shared" si="12"/>
        <v>38.213000000002467</v>
      </c>
      <c r="S36" s="27">
        <f t="shared" si="12"/>
        <v>82.210000000000719</v>
      </c>
      <c r="T36" s="27">
        <f t="shared" si="12"/>
        <v>28.42499999999859</v>
      </c>
      <c r="U36" s="27">
        <f t="shared" si="12"/>
        <v>73.845999999999549</v>
      </c>
      <c r="V36" s="27">
        <f t="shared" si="12"/>
        <v>40.155000000000001</v>
      </c>
      <c r="W36" s="27">
        <f>W37+W38+W39</f>
        <v>81.129000000000005</v>
      </c>
      <c r="X36" s="27">
        <f t="shared" si="12"/>
        <v>171.04300000000001</v>
      </c>
      <c r="Y36" s="27">
        <f t="shared" ref="Y36:Z36" si="13">Y37+Y38+Y39</f>
        <v>104.5725058391954</v>
      </c>
      <c r="Z36" s="27">
        <f t="shared" si="13"/>
        <v>0</v>
      </c>
    </row>
    <row r="37" spans="1:26" x14ac:dyDescent="0.2">
      <c r="A37" s="22" t="s">
        <v>56</v>
      </c>
      <c r="B37" s="27">
        <v>10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8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</row>
    <row r="38" spans="1:26" x14ac:dyDescent="0.2">
      <c r="A38" s="22" t="s">
        <v>58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</row>
    <row r="39" spans="1:26" x14ac:dyDescent="0.2">
      <c r="A39" s="22" t="s">
        <v>59</v>
      </c>
      <c r="B39" s="27">
        <f t="shared" ref="B39:M39" si="14">B28-(B30+B37+B41+B49)</f>
        <v>113.29700000000048</v>
      </c>
      <c r="C39" s="27">
        <f t="shared" si="14"/>
        <v>-23.707000000002154</v>
      </c>
      <c r="D39" s="27">
        <f t="shared" si="14"/>
        <v>160.875</v>
      </c>
      <c r="E39" s="27">
        <f t="shared" si="14"/>
        <v>22.585999999999331</v>
      </c>
      <c r="F39" s="27">
        <f t="shared" si="14"/>
        <v>94.145999999998821</v>
      </c>
      <c r="G39" s="27">
        <f t="shared" si="14"/>
        <v>-67.454000000001543</v>
      </c>
      <c r="H39" s="27">
        <f t="shared" si="14"/>
        <v>-132.378999999999</v>
      </c>
      <c r="I39" s="27">
        <f t="shared" si="14"/>
        <v>0</v>
      </c>
      <c r="J39" s="27">
        <f t="shared" si="14"/>
        <v>0</v>
      </c>
      <c r="K39" s="27">
        <f t="shared" si="14"/>
        <v>-44.653999999996813</v>
      </c>
      <c r="L39" s="27">
        <f t="shared" si="14"/>
        <v>19.01299999999901</v>
      </c>
      <c r="M39" s="27">
        <f t="shared" si="14"/>
        <v>-63.993000000000393</v>
      </c>
      <c r="N39" s="27">
        <f>N28-N30-N41-N49</f>
        <v>-22.947999999999865</v>
      </c>
      <c r="O39" s="27">
        <v>0</v>
      </c>
      <c r="P39" s="27">
        <v>0</v>
      </c>
      <c r="Q39" s="27">
        <v>-33.216000000001486</v>
      </c>
      <c r="R39" s="27">
        <v>38.213000000002467</v>
      </c>
      <c r="S39" s="27">
        <v>82.210000000000719</v>
      </c>
      <c r="T39" s="27">
        <v>28.42499999999859</v>
      </c>
      <c r="U39" s="27">
        <v>73.845999999999549</v>
      </c>
      <c r="V39" s="27">
        <v>40.155000000000001</v>
      </c>
      <c r="W39" s="27">
        <v>81.129000000000005</v>
      </c>
      <c r="X39" s="27">
        <v>171.04300000000001</v>
      </c>
      <c r="Y39" s="27">
        <v>104.5725058391954</v>
      </c>
      <c r="Z39" s="27">
        <v>0</v>
      </c>
    </row>
    <row r="40" spans="1:26" x14ac:dyDescent="0.2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S40" s="27"/>
      <c r="T40" s="27"/>
      <c r="W40" s="27"/>
    </row>
    <row r="41" spans="1:26" x14ac:dyDescent="0.2">
      <c r="A41" s="26" t="s">
        <v>60</v>
      </c>
      <c r="B41" s="27">
        <f t="shared" ref="B41:U41" si="15">B43+B44+B45</f>
        <v>10131.557999999999</v>
      </c>
      <c r="C41" s="27">
        <f t="shared" si="15"/>
        <v>9973.5380000000005</v>
      </c>
      <c r="D41" s="27">
        <f t="shared" si="15"/>
        <v>9711.2559999999994</v>
      </c>
      <c r="E41" s="27">
        <f t="shared" si="15"/>
        <v>9861.7389999999996</v>
      </c>
      <c r="F41" s="27">
        <f t="shared" si="15"/>
        <v>10188.494000000001</v>
      </c>
      <c r="G41" s="27">
        <f t="shared" si="15"/>
        <v>10340.439</v>
      </c>
      <c r="H41" s="27">
        <f t="shared" si="15"/>
        <v>10134.645999999999</v>
      </c>
      <c r="I41" s="27">
        <f t="shared" si="15"/>
        <v>10703.64</v>
      </c>
      <c r="J41" s="27">
        <f t="shared" si="15"/>
        <v>10607.064</v>
      </c>
      <c r="K41" s="27">
        <f t="shared" si="15"/>
        <v>11152.342999999999</v>
      </c>
      <c r="L41" s="27">
        <f t="shared" si="15"/>
        <v>11421.864000000001</v>
      </c>
      <c r="M41" s="27">
        <f t="shared" si="15"/>
        <v>11313.450999999999</v>
      </c>
      <c r="N41" s="27">
        <f t="shared" si="15"/>
        <v>11775.502</v>
      </c>
      <c r="O41" s="27">
        <f t="shared" si="15"/>
        <v>12245.950000000003</v>
      </c>
      <c r="P41" s="27">
        <f t="shared" si="15"/>
        <v>12018.933999999999</v>
      </c>
      <c r="Q41" s="27">
        <f t="shared" si="15"/>
        <v>12050.695</v>
      </c>
      <c r="R41" s="27">
        <f t="shared" si="15"/>
        <v>12258.338</v>
      </c>
      <c r="S41" s="27">
        <f t="shared" si="15"/>
        <v>12185.431</v>
      </c>
      <c r="T41" s="27">
        <f t="shared" si="15"/>
        <v>12231.168</v>
      </c>
      <c r="U41" s="27">
        <f t="shared" si="15"/>
        <v>12344.091</v>
      </c>
      <c r="V41" s="27">
        <f>V43+V44+V45</f>
        <v>12277.449000000001</v>
      </c>
      <c r="W41" s="27">
        <f>W43+W44+W45</f>
        <v>12577.555</v>
      </c>
      <c r="X41" s="27">
        <f>X43+X44+X45</f>
        <v>12588.999</v>
      </c>
      <c r="Y41" s="27">
        <f>Y43+Y44+Y45</f>
        <v>12460.018690617298</v>
      </c>
      <c r="Z41" s="27">
        <f>Z43+Z44+Z45</f>
        <v>12455</v>
      </c>
    </row>
    <row r="42" spans="1:26" x14ac:dyDescent="0.2">
      <c r="A42" s="22" t="s">
        <v>61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S42" s="27"/>
      <c r="T42" s="27"/>
      <c r="W42" s="27"/>
    </row>
    <row r="43" spans="1:26" x14ac:dyDescent="0.2">
      <c r="A43" s="22" t="s">
        <v>62</v>
      </c>
      <c r="B43" s="27">
        <v>98.426000000000002</v>
      </c>
      <c r="C43" s="27">
        <v>155.55799999999999</v>
      </c>
      <c r="D43" s="27">
        <v>182.851</v>
      </c>
      <c r="E43" s="27">
        <v>142</v>
      </c>
      <c r="F43" s="27">
        <v>120.875</v>
      </c>
      <c r="G43" s="27">
        <v>105.586</v>
      </c>
      <c r="H43" s="27">
        <v>168.578</v>
      </c>
      <c r="I43" s="27">
        <v>141.09100000000001</v>
      </c>
      <c r="J43" s="27">
        <v>120.367</v>
      </c>
      <c r="K43" s="27">
        <v>201.238</v>
      </c>
      <c r="L43" s="27">
        <v>196.21199999999999</v>
      </c>
      <c r="M43" s="27">
        <v>140.077</v>
      </c>
      <c r="N43" s="27">
        <v>79.956999999999994</v>
      </c>
      <c r="O43" s="27">
        <v>81.593999999999994</v>
      </c>
      <c r="P43" s="27">
        <v>102.55499999999999</v>
      </c>
      <c r="Q43" s="27">
        <v>147.84900000000002</v>
      </c>
      <c r="R43" s="27">
        <v>126.946</v>
      </c>
      <c r="S43" s="27">
        <v>109.736</v>
      </c>
      <c r="T43" s="27">
        <v>98.385000000000005</v>
      </c>
      <c r="U43" s="27">
        <v>77.727000000000004</v>
      </c>
      <c r="V43" s="27">
        <v>89.034000000000006</v>
      </c>
      <c r="W43" s="27">
        <v>80.206000000000003</v>
      </c>
      <c r="X43" s="27">
        <v>93.724999999999994</v>
      </c>
      <c r="Y43" s="27">
        <v>83.016000000000005</v>
      </c>
      <c r="Z43" s="27">
        <v>80</v>
      </c>
    </row>
    <row r="44" spans="1:26" x14ac:dyDescent="0.2">
      <c r="A44" s="22" t="s">
        <v>63</v>
      </c>
      <c r="B44" s="27">
        <f>11.818+21.558</f>
        <v>33.375999999999998</v>
      </c>
      <c r="C44" s="27">
        <f>23.334+9.289</f>
        <v>32.622999999999998</v>
      </c>
      <c r="D44" s="27">
        <f>20.781+3.624</f>
        <v>24.404999999999998</v>
      </c>
      <c r="E44" s="27">
        <f>24.464+14.931+2</f>
        <v>41.394999999999996</v>
      </c>
      <c r="F44" s="27">
        <f>23.012+25.451</f>
        <v>48.463000000000001</v>
      </c>
      <c r="G44" s="27">
        <f>23.833+27.02</f>
        <v>50.852999999999994</v>
      </c>
      <c r="H44" s="27">
        <f>26.651+26.054</f>
        <v>52.704999999999998</v>
      </c>
      <c r="I44" s="27">
        <f>24.463+36.777</f>
        <v>61.24</v>
      </c>
      <c r="J44" s="27">
        <f>18.2+27.775</f>
        <v>45.974999999999994</v>
      </c>
      <c r="K44" s="27">
        <f>20.364+14.136</f>
        <v>34.5</v>
      </c>
      <c r="L44" s="27">
        <f>15.824+17.066</f>
        <v>32.89</v>
      </c>
      <c r="M44" s="27">
        <f>12.046+20.537</f>
        <v>32.582999999999998</v>
      </c>
      <c r="N44" s="27">
        <f>13.359+18.253+153.165</f>
        <v>184.77699999999999</v>
      </c>
      <c r="O44" s="27">
        <v>345.54999999999995</v>
      </c>
      <c r="P44" s="27">
        <v>27.951000000000001</v>
      </c>
      <c r="Q44" s="27">
        <v>22.12</v>
      </c>
      <c r="R44" s="27">
        <v>29.363</v>
      </c>
      <c r="S44" s="27">
        <v>27.704999999999998</v>
      </c>
      <c r="T44" s="27">
        <v>27.130000000000003</v>
      </c>
      <c r="U44" s="27">
        <v>20.364000000000001</v>
      </c>
      <c r="V44" s="27">
        <v>27.286999999999999</v>
      </c>
      <c r="W44" s="27">
        <v>27.195</v>
      </c>
      <c r="X44" s="27">
        <v>21.9</v>
      </c>
      <c r="Y44" s="27">
        <v>23.462999999999997</v>
      </c>
      <c r="Z44" s="27">
        <v>25</v>
      </c>
    </row>
    <row r="45" spans="1:26" x14ac:dyDescent="0.2">
      <c r="A45" s="26" t="s">
        <v>96</v>
      </c>
      <c r="B45" s="27">
        <v>9999.7559999999994</v>
      </c>
      <c r="C45" s="27">
        <v>9785.357</v>
      </c>
      <c r="D45" s="27">
        <v>9504</v>
      </c>
      <c r="E45" s="27">
        <v>9678.3439999999991</v>
      </c>
      <c r="F45" s="27">
        <v>10019.156000000001</v>
      </c>
      <c r="G45" s="27">
        <v>10184</v>
      </c>
      <c r="H45" s="27">
        <v>9913.3629999999994</v>
      </c>
      <c r="I45" s="27">
        <f>I28-I30-I43-I44-I49</f>
        <v>10501.308999999999</v>
      </c>
      <c r="J45" s="27">
        <f>J28-J30-J43-J44-J49</f>
        <v>10440.722</v>
      </c>
      <c r="K45" s="27">
        <v>10916.605</v>
      </c>
      <c r="L45" s="27">
        <v>11192.762000000001</v>
      </c>
      <c r="M45" s="27">
        <v>11140.790999999999</v>
      </c>
      <c r="N45" s="27">
        <v>11510.768</v>
      </c>
      <c r="O45" s="27">
        <v>11818.806000000002</v>
      </c>
      <c r="P45" s="27">
        <v>11888.428</v>
      </c>
      <c r="Q45" s="27">
        <v>11880.726000000001</v>
      </c>
      <c r="R45" s="27">
        <v>12102.029</v>
      </c>
      <c r="S45" s="27">
        <v>12047.99</v>
      </c>
      <c r="T45" s="27">
        <v>12105.653</v>
      </c>
      <c r="U45" s="27">
        <v>12246</v>
      </c>
      <c r="V45" s="27">
        <v>12161.128000000001</v>
      </c>
      <c r="W45" s="27">
        <v>12470.154</v>
      </c>
      <c r="X45" s="27">
        <v>12473.374</v>
      </c>
      <c r="Y45" s="27">
        <v>12353.539690617299</v>
      </c>
      <c r="Z45" s="27">
        <v>12350</v>
      </c>
    </row>
    <row r="46" spans="1:26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S46" s="27"/>
      <c r="T46" s="27"/>
      <c r="W46" s="27"/>
    </row>
    <row r="47" spans="1:26" x14ac:dyDescent="0.2">
      <c r="A47" s="22" t="s">
        <v>27</v>
      </c>
      <c r="B47" s="27">
        <f t="shared" ref="B47:U47" si="16">B30+B41+B36</f>
        <v>10395.763999999999</v>
      </c>
      <c r="C47" s="27">
        <f t="shared" si="16"/>
        <v>10087.207999999999</v>
      </c>
      <c r="D47" s="27">
        <f t="shared" si="16"/>
        <v>10013.825999999999</v>
      </c>
      <c r="E47" s="27">
        <f t="shared" si="16"/>
        <v>10172.324999999999</v>
      </c>
      <c r="F47" s="27">
        <f t="shared" si="16"/>
        <v>10541.67</v>
      </c>
      <c r="G47" s="27">
        <f t="shared" si="16"/>
        <v>10475.984999999999</v>
      </c>
      <c r="H47" s="27">
        <f t="shared" si="16"/>
        <v>10424.008</v>
      </c>
      <c r="I47" s="27">
        <f t="shared" si="16"/>
        <v>10906.983</v>
      </c>
      <c r="J47" s="27">
        <f t="shared" si="16"/>
        <v>10742.999</v>
      </c>
      <c r="K47" s="27">
        <f t="shared" si="16"/>
        <v>11318.504000000003</v>
      </c>
      <c r="L47" s="27">
        <f t="shared" si="16"/>
        <v>11689.11</v>
      </c>
      <c r="M47" s="27">
        <f t="shared" si="16"/>
        <v>11518.868999999999</v>
      </c>
      <c r="N47" s="27">
        <f>N28-N49</f>
        <v>12026.654</v>
      </c>
      <c r="O47" s="27">
        <f t="shared" si="16"/>
        <v>12552.173000000003</v>
      </c>
      <c r="P47" s="27">
        <f t="shared" si="16"/>
        <v>12203.81</v>
      </c>
      <c r="Q47" s="27">
        <f t="shared" si="16"/>
        <v>12091.042999999998</v>
      </c>
      <c r="R47" s="27">
        <f t="shared" si="16"/>
        <v>12391.272000000001</v>
      </c>
      <c r="S47" s="27">
        <f t="shared" si="16"/>
        <v>12437.584000000001</v>
      </c>
      <c r="T47" s="27">
        <f t="shared" si="16"/>
        <v>12294.197999999999</v>
      </c>
      <c r="U47" s="27">
        <f t="shared" si="16"/>
        <v>12478.953</v>
      </c>
      <c r="V47" s="27">
        <f>V30+V41+V36</f>
        <v>12367.1</v>
      </c>
      <c r="W47" s="27">
        <f>W30+W41+W36</f>
        <v>12687.625000000002</v>
      </c>
      <c r="X47" s="27">
        <f>X30+X41+X36</f>
        <v>12842.528</v>
      </c>
      <c r="Y47" s="27">
        <f t="shared" ref="Y47:Z47" si="17">Y30+Y41+Y36</f>
        <v>12813.822196456495</v>
      </c>
      <c r="Z47" s="27">
        <f t="shared" si="17"/>
        <v>12555</v>
      </c>
    </row>
    <row r="48" spans="1:26" x14ac:dyDescent="0.2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S48" s="27"/>
      <c r="T48" s="27"/>
      <c r="U48" s="27"/>
      <c r="V48" s="27"/>
      <c r="W48" s="27"/>
    </row>
    <row r="49" spans="1:26" x14ac:dyDescent="0.2">
      <c r="A49" s="22" t="s">
        <v>64</v>
      </c>
      <c r="B49" s="27">
        <f>B50+B51</f>
        <v>2179.6779999999999</v>
      </c>
      <c r="C49" s="27">
        <f t="shared" ref="C49:Y49" si="18">C50+C51</f>
        <v>1527.7819999999997</v>
      </c>
      <c r="D49" s="27">
        <f t="shared" si="18"/>
        <v>1670</v>
      </c>
      <c r="E49" s="27">
        <f t="shared" si="18"/>
        <v>1897.33</v>
      </c>
      <c r="F49" s="27">
        <f t="shared" si="18"/>
        <v>1331.6479999999999</v>
      </c>
      <c r="G49" s="27">
        <f t="shared" si="18"/>
        <v>1697.8920000000001</v>
      </c>
      <c r="H49" s="27">
        <f t="shared" si="18"/>
        <v>1798.5</v>
      </c>
      <c r="I49" s="27">
        <f t="shared" si="18"/>
        <v>1664.172</v>
      </c>
      <c r="J49" s="27">
        <f t="shared" si="18"/>
        <v>1534.1020000000001</v>
      </c>
      <c r="K49" s="27">
        <f t="shared" si="18"/>
        <v>1498.15</v>
      </c>
      <c r="L49" s="27">
        <f t="shared" si="18"/>
        <v>1378.0129999999999</v>
      </c>
      <c r="M49" s="27">
        <f t="shared" si="18"/>
        <v>1979.2809999999999</v>
      </c>
      <c r="N49" s="27">
        <f t="shared" si="18"/>
        <v>2158.4389999999999</v>
      </c>
      <c r="O49" s="27">
        <f t="shared" si="18"/>
        <v>1809.744999999999</v>
      </c>
      <c r="P49" s="27">
        <f t="shared" si="18"/>
        <v>1815.2360000000026</v>
      </c>
      <c r="Q49" s="27">
        <f t="shared" si="18"/>
        <v>2053.8960000000043</v>
      </c>
      <c r="R49" s="27">
        <f t="shared" si="18"/>
        <v>1875.9570000000058</v>
      </c>
      <c r="S49" s="27">
        <f t="shared" si="18"/>
        <v>2007.868000000004</v>
      </c>
      <c r="T49" s="27">
        <f t="shared" si="18"/>
        <v>1782.5150000000049</v>
      </c>
      <c r="U49" s="27">
        <f t="shared" si="18"/>
        <v>1617.5890000000054</v>
      </c>
      <c r="V49" s="27">
        <f t="shared" si="18"/>
        <v>1703.8293735902098</v>
      </c>
      <c r="W49" s="27">
        <f t="shared" si="18"/>
        <v>1820.2</v>
      </c>
      <c r="X49" s="27">
        <f t="shared" si="18"/>
        <v>1842.5049999999992</v>
      </c>
      <c r="Y49" s="27">
        <f t="shared" si="18"/>
        <v>2162.0863093827138</v>
      </c>
      <c r="Z49" s="27">
        <f t="shared" ref="Z49" si="19">Z50+Z51</f>
        <v>1464.418312221922</v>
      </c>
    </row>
    <row r="50" spans="1:26" x14ac:dyDescent="0.2">
      <c r="A50" s="26" t="s">
        <v>65</v>
      </c>
      <c r="B50" s="28">
        <v>1395.4269999999999</v>
      </c>
      <c r="C50" s="27">
        <v>1315.8449999999998</v>
      </c>
      <c r="D50" s="28">
        <v>1670</v>
      </c>
      <c r="E50" s="28">
        <v>1897.33</v>
      </c>
      <c r="F50" s="28">
        <v>1331.6479999999999</v>
      </c>
      <c r="G50" s="28">
        <v>1697.8920000000001</v>
      </c>
      <c r="H50" s="28">
        <v>1798.5</v>
      </c>
      <c r="I50" s="28">
        <v>1664.172</v>
      </c>
      <c r="J50" s="28">
        <v>1534.1020000000001</v>
      </c>
      <c r="K50" s="28">
        <v>1498.15</v>
      </c>
      <c r="L50" s="28">
        <v>1378.0129999999999</v>
      </c>
      <c r="M50" s="28">
        <v>1979.2809999999999</v>
      </c>
      <c r="N50" s="28">
        <v>1842.2939999999999</v>
      </c>
      <c r="O50" s="28">
        <v>1809.744999999999</v>
      </c>
      <c r="P50" s="28">
        <v>1815.2360000000026</v>
      </c>
      <c r="Q50" s="28">
        <f t="shared" ref="Q50:Y50" si="20">Q28-Q47</f>
        <v>2053.8960000000043</v>
      </c>
      <c r="R50" s="28">
        <f t="shared" si="20"/>
        <v>1875.9570000000058</v>
      </c>
      <c r="S50" s="28">
        <f t="shared" si="20"/>
        <v>2007.868000000004</v>
      </c>
      <c r="T50" s="28">
        <f t="shared" si="20"/>
        <v>1782.5150000000049</v>
      </c>
      <c r="U50" s="28">
        <f t="shared" si="20"/>
        <v>1617.5890000000054</v>
      </c>
      <c r="V50" s="28">
        <f t="shared" si="20"/>
        <v>1703.8293735902098</v>
      </c>
      <c r="W50" s="28">
        <v>1820.2</v>
      </c>
      <c r="X50" s="28">
        <f t="shared" si="20"/>
        <v>1842.5049999999992</v>
      </c>
      <c r="Y50" s="28">
        <f t="shared" si="20"/>
        <v>2162.0863093827138</v>
      </c>
      <c r="Z50" s="28">
        <f>Z28-Z47</f>
        <v>1464.418312221922</v>
      </c>
    </row>
    <row r="51" spans="1:26" x14ac:dyDescent="0.2">
      <c r="A51" s="26" t="s">
        <v>66</v>
      </c>
      <c r="B51" s="27">
        <v>784.25099999999998</v>
      </c>
      <c r="C51" s="28">
        <v>211.93700000000001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316.14499999999998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</row>
    <row r="52" spans="1:26" x14ac:dyDescent="0.2">
      <c r="B52" s="28"/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W52" s="27"/>
    </row>
    <row r="53" spans="1:26" x14ac:dyDescent="0.2">
      <c r="B53" s="29"/>
      <c r="C53" s="27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W53" s="27"/>
    </row>
    <row r="54" spans="1:26" s="21" customFormat="1" x14ac:dyDescent="0.2">
      <c r="A54" s="21" t="s">
        <v>67</v>
      </c>
      <c r="B54" s="30">
        <f t="shared" ref="B54:W54" si="21">100*B49/B47</f>
        <v>20.966982320876081</v>
      </c>
      <c r="C54" s="30">
        <f t="shared" si="21"/>
        <v>15.145737056279597</v>
      </c>
      <c r="D54" s="30">
        <f t="shared" si="21"/>
        <v>16.676942459355697</v>
      </c>
      <c r="E54" s="30">
        <f t="shared" si="21"/>
        <v>18.651881452863531</v>
      </c>
      <c r="F54" s="30">
        <f t="shared" si="21"/>
        <v>12.632229997713834</v>
      </c>
      <c r="G54" s="30">
        <f t="shared" si="21"/>
        <v>16.207468796490261</v>
      </c>
      <c r="H54" s="30">
        <f t="shared" si="21"/>
        <v>17.253440327367361</v>
      </c>
      <c r="I54" s="30">
        <f t="shared" si="21"/>
        <v>15.257858199650629</v>
      </c>
      <c r="J54" s="30">
        <f t="shared" si="21"/>
        <v>14.280016222658125</v>
      </c>
      <c r="K54" s="30">
        <f t="shared" si="21"/>
        <v>13.236289884246183</v>
      </c>
      <c r="L54" s="30">
        <f t="shared" si="21"/>
        <v>11.788861598530596</v>
      </c>
      <c r="M54" s="30">
        <f t="shared" si="21"/>
        <v>17.182945652042751</v>
      </c>
      <c r="N54" s="30">
        <f t="shared" si="21"/>
        <v>17.947128103959752</v>
      </c>
      <c r="O54" s="30">
        <f t="shared" si="21"/>
        <v>14.417782482762135</v>
      </c>
      <c r="P54" s="30">
        <f t="shared" si="21"/>
        <v>14.874338423820125</v>
      </c>
      <c r="Q54" s="30">
        <f t="shared" si="21"/>
        <v>16.986921641085925</v>
      </c>
      <c r="R54" s="30">
        <f t="shared" si="21"/>
        <v>15.139341626912925</v>
      </c>
      <c r="S54" s="30">
        <f t="shared" si="21"/>
        <v>16.143553281730629</v>
      </c>
      <c r="T54" s="30">
        <f t="shared" si="21"/>
        <v>14.498831074625651</v>
      </c>
      <c r="U54" s="30">
        <f>100*U49/U47</f>
        <v>12.962537802650635</v>
      </c>
      <c r="V54" s="30">
        <f t="shared" si="21"/>
        <v>13.777113256868706</v>
      </c>
      <c r="W54" s="44">
        <f t="shared" si="21"/>
        <v>14.346262598398043</v>
      </c>
      <c r="X54" s="30">
        <f t="shared" ref="X54:Y54" si="22">100*X49/X47</f>
        <v>14.346902728185595</v>
      </c>
      <c r="Y54" s="30">
        <f t="shared" si="22"/>
        <v>16.873078744456219</v>
      </c>
      <c r="Z54" s="30">
        <f t="shared" ref="Z54" si="23">100*Z49/Z47</f>
        <v>11.664024788705074</v>
      </c>
    </row>
    <row r="55" spans="1:26" x14ac:dyDescent="0.2">
      <c r="A55" s="31" t="s">
        <v>95</v>
      </c>
    </row>
    <row r="56" spans="1:26" x14ac:dyDescent="0.2">
      <c r="A56" s="31" t="s">
        <v>104</v>
      </c>
    </row>
    <row r="57" spans="1:26" x14ac:dyDescent="0.2">
      <c r="A57" s="31" t="s">
        <v>97</v>
      </c>
    </row>
    <row r="58" spans="1:26" x14ac:dyDescent="0.2">
      <c r="A58" s="31" t="s">
        <v>98</v>
      </c>
    </row>
    <row r="59" spans="1:26" x14ac:dyDescent="0.2">
      <c r="A59" s="22" t="s">
        <v>106</v>
      </c>
    </row>
    <row r="60" spans="1:26" x14ac:dyDescent="0.2">
      <c r="A60" s="22" t="s">
        <v>80</v>
      </c>
    </row>
    <row r="61" spans="1:26" x14ac:dyDescent="0.2">
      <c r="A61" s="26"/>
    </row>
  </sheetData>
  <mergeCells count="1">
    <mergeCell ref="B5:X5"/>
  </mergeCells>
  <pageMargins left="0.75" right="0.75" top="1" bottom="1" header="0.5" footer="0.5"/>
  <pageSetup scale="66" orientation="portrait" verticalDpi="300" r:id="rId1"/>
  <headerFooter alignWithMargins="0"/>
  <ignoredErrors>
    <ignoredError sqref="V9 N47 Y23" formula="1"/>
    <ignoredError sqref="W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C5C4-6702-4CFD-8305-A36BB8F39820}">
  <sheetPr>
    <pageSetUpPr fitToPage="1"/>
  </sheetPr>
  <dimension ref="A1:AA68"/>
  <sheetViews>
    <sheetView zoomScaleNormal="100" workbookViewId="0">
      <pane xSplit="1" ySplit="5" topLeftCell="M6" activePane="bottomRight" state="frozen"/>
      <selection pane="topRight" activeCell="B1" sqref="B1"/>
      <selection pane="bottomLeft" activeCell="A6" sqref="A6"/>
      <selection pane="bottomRight"/>
    </sheetView>
  </sheetViews>
  <sheetFormatPr defaultRowHeight="11.25" x14ac:dyDescent="0.2"/>
  <cols>
    <col min="1" max="1" width="40.42578125" style="5" customWidth="1"/>
    <col min="2" max="2" width="9.42578125" style="5" customWidth="1"/>
    <col min="3" max="3" width="9.140625" style="5" customWidth="1"/>
    <col min="4" max="4" width="9" style="5" customWidth="1"/>
    <col min="5" max="8" width="10.42578125" style="5" customWidth="1"/>
    <col min="9" max="22" width="9.140625" style="5"/>
    <col min="23" max="23" width="9.5703125" style="5" bestFit="1" customWidth="1"/>
    <col min="24" max="24" width="10" style="5" bestFit="1" customWidth="1"/>
    <col min="25" max="25" width="9.5703125" style="5" bestFit="1" customWidth="1"/>
    <col min="26" max="26" width="10" style="5" bestFit="1" customWidth="1"/>
    <col min="27" max="256" width="9.140625" style="5"/>
    <col min="257" max="257" width="42.85546875" style="5" customWidth="1"/>
    <col min="258" max="262" width="0" style="5" hidden="1" customWidth="1"/>
    <col min="263" max="264" width="10.42578125" style="5" customWidth="1"/>
    <col min="265" max="512" width="9.140625" style="5"/>
    <col min="513" max="513" width="42.85546875" style="5" customWidth="1"/>
    <col min="514" max="518" width="0" style="5" hidden="1" customWidth="1"/>
    <col min="519" max="520" width="10.42578125" style="5" customWidth="1"/>
    <col min="521" max="768" width="9.140625" style="5"/>
    <col min="769" max="769" width="42.85546875" style="5" customWidth="1"/>
    <col min="770" max="774" width="0" style="5" hidden="1" customWidth="1"/>
    <col min="775" max="776" width="10.42578125" style="5" customWidth="1"/>
    <col min="777" max="1024" width="9.140625" style="5"/>
    <col min="1025" max="1025" width="42.85546875" style="5" customWidth="1"/>
    <col min="1026" max="1030" width="0" style="5" hidden="1" customWidth="1"/>
    <col min="1031" max="1032" width="10.42578125" style="5" customWidth="1"/>
    <col min="1033" max="1280" width="9.140625" style="5"/>
    <col min="1281" max="1281" width="42.85546875" style="5" customWidth="1"/>
    <col min="1282" max="1286" width="0" style="5" hidden="1" customWidth="1"/>
    <col min="1287" max="1288" width="10.42578125" style="5" customWidth="1"/>
    <col min="1289" max="1536" width="9.140625" style="5"/>
    <col min="1537" max="1537" width="42.85546875" style="5" customWidth="1"/>
    <col min="1538" max="1542" width="0" style="5" hidden="1" customWidth="1"/>
    <col min="1543" max="1544" width="10.42578125" style="5" customWidth="1"/>
    <col min="1545" max="1792" width="9.140625" style="5"/>
    <col min="1793" max="1793" width="42.85546875" style="5" customWidth="1"/>
    <col min="1794" max="1798" width="0" style="5" hidden="1" customWidth="1"/>
    <col min="1799" max="1800" width="10.42578125" style="5" customWidth="1"/>
    <col min="1801" max="2048" width="9.140625" style="5"/>
    <col min="2049" max="2049" width="42.85546875" style="5" customWidth="1"/>
    <col min="2050" max="2054" width="0" style="5" hidden="1" customWidth="1"/>
    <col min="2055" max="2056" width="10.42578125" style="5" customWidth="1"/>
    <col min="2057" max="2304" width="9.140625" style="5"/>
    <col min="2305" max="2305" width="42.85546875" style="5" customWidth="1"/>
    <col min="2306" max="2310" width="0" style="5" hidden="1" customWidth="1"/>
    <col min="2311" max="2312" width="10.42578125" style="5" customWidth="1"/>
    <col min="2313" max="2560" width="9.140625" style="5"/>
    <col min="2561" max="2561" width="42.85546875" style="5" customWidth="1"/>
    <col min="2562" max="2566" width="0" style="5" hidden="1" customWidth="1"/>
    <col min="2567" max="2568" width="10.42578125" style="5" customWidth="1"/>
    <col min="2569" max="2816" width="9.140625" style="5"/>
    <col min="2817" max="2817" width="42.85546875" style="5" customWidth="1"/>
    <col min="2818" max="2822" width="0" style="5" hidden="1" customWidth="1"/>
    <col min="2823" max="2824" width="10.42578125" style="5" customWidth="1"/>
    <col min="2825" max="3072" width="9.140625" style="5"/>
    <col min="3073" max="3073" width="42.85546875" style="5" customWidth="1"/>
    <col min="3074" max="3078" width="0" style="5" hidden="1" customWidth="1"/>
    <col min="3079" max="3080" width="10.42578125" style="5" customWidth="1"/>
    <col min="3081" max="3328" width="9.140625" style="5"/>
    <col min="3329" max="3329" width="42.85546875" style="5" customWidth="1"/>
    <col min="3330" max="3334" width="0" style="5" hidden="1" customWidth="1"/>
    <col min="3335" max="3336" width="10.42578125" style="5" customWidth="1"/>
    <col min="3337" max="3584" width="9.140625" style="5"/>
    <col min="3585" max="3585" width="42.85546875" style="5" customWidth="1"/>
    <col min="3586" max="3590" width="0" style="5" hidden="1" customWidth="1"/>
    <col min="3591" max="3592" width="10.42578125" style="5" customWidth="1"/>
    <col min="3593" max="3840" width="9.140625" style="5"/>
    <col min="3841" max="3841" width="42.85546875" style="5" customWidth="1"/>
    <col min="3842" max="3846" width="0" style="5" hidden="1" customWidth="1"/>
    <col min="3847" max="3848" width="10.42578125" style="5" customWidth="1"/>
    <col min="3849" max="4096" width="9.140625" style="5"/>
    <col min="4097" max="4097" width="42.85546875" style="5" customWidth="1"/>
    <col min="4098" max="4102" width="0" style="5" hidden="1" customWidth="1"/>
    <col min="4103" max="4104" width="10.42578125" style="5" customWidth="1"/>
    <col min="4105" max="4352" width="9.140625" style="5"/>
    <col min="4353" max="4353" width="42.85546875" style="5" customWidth="1"/>
    <col min="4354" max="4358" width="0" style="5" hidden="1" customWidth="1"/>
    <col min="4359" max="4360" width="10.42578125" style="5" customWidth="1"/>
    <col min="4361" max="4608" width="9.140625" style="5"/>
    <col min="4609" max="4609" width="42.85546875" style="5" customWidth="1"/>
    <col min="4610" max="4614" width="0" style="5" hidden="1" customWidth="1"/>
    <col min="4615" max="4616" width="10.42578125" style="5" customWidth="1"/>
    <col min="4617" max="4864" width="9.140625" style="5"/>
    <col min="4865" max="4865" width="42.85546875" style="5" customWidth="1"/>
    <col min="4866" max="4870" width="0" style="5" hidden="1" customWidth="1"/>
    <col min="4871" max="4872" width="10.42578125" style="5" customWidth="1"/>
    <col min="4873" max="5120" width="9.140625" style="5"/>
    <col min="5121" max="5121" width="42.85546875" style="5" customWidth="1"/>
    <col min="5122" max="5126" width="0" style="5" hidden="1" customWidth="1"/>
    <col min="5127" max="5128" width="10.42578125" style="5" customWidth="1"/>
    <col min="5129" max="5376" width="9.140625" style="5"/>
    <col min="5377" max="5377" width="42.85546875" style="5" customWidth="1"/>
    <col min="5378" max="5382" width="0" style="5" hidden="1" customWidth="1"/>
    <col min="5383" max="5384" width="10.42578125" style="5" customWidth="1"/>
    <col min="5385" max="5632" width="9.140625" style="5"/>
    <col min="5633" max="5633" width="42.85546875" style="5" customWidth="1"/>
    <col min="5634" max="5638" width="0" style="5" hidden="1" customWidth="1"/>
    <col min="5639" max="5640" width="10.42578125" style="5" customWidth="1"/>
    <col min="5641" max="5888" width="9.140625" style="5"/>
    <col min="5889" max="5889" width="42.85546875" style="5" customWidth="1"/>
    <col min="5890" max="5894" width="0" style="5" hidden="1" customWidth="1"/>
    <col min="5895" max="5896" width="10.42578125" style="5" customWidth="1"/>
    <col min="5897" max="6144" width="9.140625" style="5"/>
    <col min="6145" max="6145" width="42.85546875" style="5" customWidth="1"/>
    <col min="6146" max="6150" width="0" style="5" hidden="1" customWidth="1"/>
    <col min="6151" max="6152" width="10.42578125" style="5" customWidth="1"/>
    <col min="6153" max="6400" width="9.140625" style="5"/>
    <col min="6401" max="6401" width="42.85546875" style="5" customWidth="1"/>
    <col min="6402" max="6406" width="0" style="5" hidden="1" customWidth="1"/>
    <col min="6407" max="6408" width="10.42578125" style="5" customWidth="1"/>
    <col min="6409" max="6656" width="9.140625" style="5"/>
    <col min="6657" max="6657" width="42.85546875" style="5" customWidth="1"/>
    <col min="6658" max="6662" width="0" style="5" hidden="1" customWidth="1"/>
    <col min="6663" max="6664" width="10.42578125" style="5" customWidth="1"/>
    <col min="6665" max="6912" width="9.140625" style="5"/>
    <col min="6913" max="6913" width="42.85546875" style="5" customWidth="1"/>
    <col min="6914" max="6918" width="0" style="5" hidden="1" customWidth="1"/>
    <col min="6919" max="6920" width="10.42578125" style="5" customWidth="1"/>
    <col min="6921" max="7168" width="9.140625" style="5"/>
    <col min="7169" max="7169" width="42.85546875" style="5" customWidth="1"/>
    <col min="7170" max="7174" width="0" style="5" hidden="1" customWidth="1"/>
    <col min="7175" max="7176" width="10.42578125" style="5" customWidth="1"/>
    <col min="7177" max="7424" width="9.140625" style="5"/>
    <col min="7425" max="7425" width="42.85546875" style="5" customWidth="1"/>
    <col min="7426" max="7430" width="0" style="5" hidden="1" customWidth="1"/>
    <col min="7431" max="7432" width="10.42578125" style="5" customWidth="1"/>
    <col min="7433" max="7680" width="9.140625" style="5"/>
    <col min="7681" max="7681" width="42.85546875" style="5" customWidth="1"/>
    <col min="7682" max="7686" width="0" style="5" hidden="1" customWidth="1"/>
    <col min="7687" max="7688" width="10.42578125" style="5" customWidth="1"/>
    <col min="7689" max="7936" width="9.140625" style="5"/>
    <col min="7937" max="7937" width="42.85546875" style="5" customWidth="1"/>
    <col min="7938" max="7942" width="0" style="5" hidden="1" customWidth="1"/>
    <col min="7943" max="7944" width="10.42578125" style="5" customWidth="1"/>
    <col min="7945" max="8192" width="9.140625" style="5"/>
    <col min="8193" max="8193" width="42.85546875" style="5" customWidth="1"/>
    <col min="8194" max="8198" width="0" style="5" hidden="1" customWidth="1"/>
    <col min="8199" max="8200" width="10.42578125" style="5" customWidth="1"/>
    <col min="8201" max="8448" width="9.140625" style="5"/>
    <col min="8449" max="8449" width="42.85546875" style="5" customWidth="1"/>
    <col min="8450" max="8454" width="0" style="5" hidden="1" customWidth="1"/>
    <col min="8455" max="8456" width="10.42578125" style="5" customWidth="1"/>
    <col min="8457" max="8704" width="9.140625" style="5"/>
    <col min="8705" max="8705" width="42.85546875" style="5" customWidth="1"/>
    <col min="8706" max="8710" width="0" style="5" hidden="1" customWidth="1"/>
    <col min="8711" max="8712" width="10.42578125" style="5" customWidth="1"/>
    <col min="8713" max="8960" width="9.140625" style="5"/>
    <col min="8961" max="8961" width="42.85546875" style="5" customWidth="1"/>
    <col min="8962" max="8966" width="0" style="5" hidden="1" customWidth="1"/>
    <col min="8967" max="8968" width="10.42578125" style="5" customWidth="1"/>
    <col min="8969" max="9216" width="9.140625" style="5"/>
    <col min="9217" max="9217" width="42.85546875" style="5" customWidth="1"/>
    <col min="9218" max="9222" width="0" style="5" hidden="1" customWidth="1"/>
    <col min="9223" max="9224" width="10.42578125" style="5" customWidth="1"/>
    <col min="9225" max="9472" width="9.140625" style="5"/>
    <col min="9473" max="9473" width="42.85546875" style="5" customWidth="1"/>
    <col min="9474" max="9478" width="0" style="5" hidden="1" customWidth="1"/>
    <col min="9479" max="9480" width="10.42578125" style="5" customWidth="1"/>
    <col min="9481" max="9728" width="9.140625" style="5"/>
    <col min="9729" max="9729" width="42.85546875" style="5" customWidth="1"/>
    <col min="9730" max="9734" width="0" style="5" hidden="1" customWidth="1"/>
    <col min="9735" max="9736" width="10.42578125" style="5" customWidth="1"/>
    <col min="9737" max="9984" width="9.140625" style="5"/>
    <col min="9985" max="9985" width="42.85546875" style="5" customWidth="1"/>
    <col min="9986" max="9990" width="0" style="5" hidden="1" customWidth="1"/>
    <col min="9991" max="9992" width="10.42578125" style="5" customWidth="1"/>
    <col min="9993" max="10240" width="9.140625" style="5"/>
    <col min="10241" max="10241" width="42.85546875" style="5" customWidth="1"/>
    <col min="10242" max="10246" width="0" style="5" hidden="1" customWidth="1"/>
    <col min="10247" max="10248" width="10.42578125" style="5" customWidth="1"/>
    <col min="10249" max="10496" width="9.140625" style="5"/>
    <col min="10497" max="10497" width="42.85546875" style="5" customWidth="1"/>
    <col min="10498" max="10502" width="0" style="5" hidden="1" customWidth="1"/>
    <col min="10503" max="10504" width="10.42578125" style="5" customWidth="1"/>
    <col min="10505" max="10752" width="9.140625" style="5"/>
    <col min="10753" max="10753" width="42.85546875" style="5" customWidth="1"/>
    <col min="10754" max="10758" width="0" style="5" hidden="1" customWidth="1"/>
    <col min="10759" max="10760" width="10.42578125" style="5" customWidth="1"/>
    <col min="10761" max="11008" width="9.140625" style="5"/>
    <col min="11009" max="11009" width="42.85546875" style="5" customWidth="1"/>
    <col min="11010" max="11014" width="0" style="5" hidden="1" customWidth="1"/>
    <col min="11015" max="11016" width="10.42578125" style="5" customWidth="1"/>
    <col min="11017" max="11264" width="9.140625" style="5"/>
    <col min="11265" max="11265" width="42.85546875" style="5" customWidth="1"/>
    <col min="11266" max="11270" width="0" style="5" hidden="1" customWidth="1"/>
    <col min="11271" max="11272" width="10.42578125" style="5" customWidth="1"/>
    <col min="11273" max="11520" width="9.140625" style="5"/>
    <col min="11521" max="11521" width="42.85546875" style="5" customWidth="1"/>
    <col min="11522" max="11526" width="0" style="5" hidden="1" customWidth="1"/>
    <col min="11527" max="11528" width="10.42578125" style="5" customWidth="1"/>
    <col min="11529" max="11776" width="9.140625" style="5"/>
    <col min="11777" max="11777" width="42.85546875" style="5" customWidth="1"/>
    <col min="11778" max="11782" width="0" style="5" hidden="1" customWidth="1"/>
    <col min="11783" max="11784" width="10.42578125" style="5" customWidth="1"/>
    <col min="11785" max="12032" width="9.140625" style="5"/>
    <col min="12033" max="12033" width="42.85546875" style="5" customWidth="1"/>
    <col min="12034" max="12038" width="0" style="5" hidden="1" customWidth="1"/>
    <col min="12039" max="12040" width="10.42578125" style="5" customWidth="1"/>
    <col min="12041" max="12288" width="9.140625" style="5"/>
    <col min="12289" max="12289" width="42.85546875" style="5" customWidth="1"/>
    <col min="12290" max="12294" width="0" style="5" hidden="1" customWidth="1"/>
    <col min="12295" max="12296" width="10.42578125" style="5" customWidth="1"/>
    <col min="12297" max="12544" width="9.140625" style="5"/>
    <col min="12545" max="12545" width="42.85546875" style="5" customWidth="1"/>
    <col min="12546" max="12550" width="0" style="5" hidden="1" customWidth="1"/>
    <col min="12551" max="12552" width="10.42578125" style="5" customWidth="1"/>
    <col min="12553" max="12800" width="9.140625" style="5"/>
    <col min="12801" max="12801" width="42.85546875" style="5" customWidth="1"/>
    <col min="12802" max="12806" width="0" style="5" hidden="1" customWidth="1"/>
    <col min="12807" max="12808" width="10.42578125" style="5" customWidth="1"/>
    <col min="12809" max="13056" width="9.140625" style="5"/>
    <col min="13057" max="13057" width="42.85546875" style="5" customWidth="1"/>
    <col min="13058" max="13062" width="0" style="5" hidden="1" customWidth="1"/>
    <col min="13063" max="13064" width="10.42578125" style="5" customWidth="1"/>
    <col min="13065" max="13312" width="9.140625" style="5"/>
    <col min="13313" max="13313" width="42.85546875" style="5" customWidth="1"/>
    <col min="13314" max="13318" width="0" style="5" hidden="1" customWidth="1"/>
    <col min="13319" max="13320" width="10.42578125" style="5" customWidth="1"/>
    <col min="13321" max="13568" width="9.140625" style="5"/>
    <col min="13569" max="13569" width="42.85546875" style="5" customWidth="1"/>
    <col min="13570" max="13574" width="0" style="5" hidden="1" customWidth="1"/>
    <col min="13575" max="13576" width="10.42578125" style="5" customWidth="1"/>
    <col min="13577" max="13824" width="9.140625" style="5"/>
    <col min="13825" max="13825" width="42.85546875" style="5" customWidth="1"/>
    <col min="13826" max="13830" width="0" style="5" hidden="1" customWidth="1"/>
    <col min="13831" max="13832" width="10.42578125" style="5" customWidth="1"/>
    <col min="13833" max="14080" width="9.140625" style="5"/>
    <col min="14081" max="14081" width="42.85546875" style="5" customWidth="1"/>
    <col min="14082" max="14086" width="0" style="5" hidden="1" customWidth="1"/>
    <col min="14087" max="14088" width="10.42578125" style="5" customWidth="1"/>
    <col min="14089" max="14336" width="9.140625" style="5"/>
    <col min="14337" max="14337" width="42.85546875" style="5" customWidth="1"/>
    <col min="14338" max="14342" width="0" style="5" hidden="1" customWidth="1"/>
    <col min="14343" max="14344" width="10.42578125" style="5" customWidth="1"/>
    <col min="14345" max="14592" width="9.140625" style="5"/>
    <col min="14593" max="14593" width="42.85546875" style="5" customWidth="1"/>
    <col min="14594" max="14598" width="0" style="5" hidden="1" customWidth="1"/>
    <col min="14599" max="14600" width="10.42578125" style="5" customWidth="1"/>
    <col min="14601" max="14848" width="9.140625" style="5"/>
    <col min="14849" max="14849" width="42.85546875" style="5" customWidth="1"/>
    <col min="14850" max="14854" width="0" style="5" hidden="1" customWidth="1"/>
    <col min="14855" max="14856" width="10.42578125" style="5" customWidth="1"/>
    <col min="14857" max="15104" width="9.140625" style="5"/>
    <col min="15105" max="15105" width="42.85546875" style="5" customWidth="1"/>
    <col min="15106" max="15110" width="0" style="5" hidden="1" customWidth="1"/>
    <col min="15111" max="15112" width="10.42578125" style="5" customWidth="1"/>
    <col min="15113" max="15360" width="9.140625" style="5"/>
    <col min="15361" max="15361" width="42.85546875" style="5" customWidth="1"/>
    <col min="15362" max="15366" width="0" style="5" hidden="1" customWidth="1"/>
    <col min="15367" max="15368" width="10.42578125" style="5" customWidth="1"/>
    <col min="15369" max="15616" width="9.140625" style="5"/>
    <col min="15617" max="15617" width="42.85546875" style="5" customWidth="1"/>
    <col min="15618" max="15622" width="0" style="5" hidden="1" customWidth="1"/>
    <col min="15623" max="15624" width="10.42578125" style="5" customWidth="1"/>
    <col min="15625" max="15872" width="9.140625" style="5"/>
    <col min="15873" max="15873" width="42.85546875" style="5" customWidth="1"/>
    <col min="15874" max="15878" width="0" style="5" hidden="1" customWidth="1"/>
    <col min="15879" max="15880" width="10.42578125" style="5" customWidth="1"/>
    <col min="15881" max="16128" width="9.140625" style="5"/>
    <col min="16129" max="16129" width="42.85546875" style="5" customWidth="1"/>
    <col min="16130" max="16134" width="0" style="5" hidden="1" customWidth="1"/>
    <col min="16135" max="16136" width="10.42578125" style="5" customWidth="1"/>
    <col min="16137" max="16384" width="9.140625" style="5"/>
  </cols>
  <sheetData>
    <row r="1" spans="1:26" s="4" customFormat="1" x14ac:dyDescent="0.2">
      <c r="A1" s="3" t="s">
        <v>76</v>
      </c>
    </row>
    <row r="2" spans="1:26" x14ac:dyDescent="0.2">
      <c r="A2" s="5" t="s">
        <v>32</v>
      </c>
      <c r="B2" s="33" t="s">
        <v>33</v>
      </c>
      <c r="C2" s="33" t="s">
        <v>34</v>
      </c>
      <c r="D2" s="33" t="s">
        <v>35</v>
      </c>
      <c r="E2" s="33" t="s">
        <v>36</v>
      </c>
      <c r="F2" s="33" t="s">
        <v>37</v>
      </c>
      <c r="G2" s="33" t="s">
        <v>0</v>
      </c>
      <c r="H2" s="33" t="s">
        <v>1</v>
      </c>
      <c r="I2" s="33" t="s">
        <v>2</v>
      </c>
      <c r="J2" s="33" t="s">
        <v>3</v>
      </c>
      <c r="K2" s="33" t="s">
        <v>4</v>
      </c>
      <c r="L2" s="33" t="s">
        <v>5</v>
      </c>
      <c r="M2" s="33" t="s">
        <v>6</v>
      </c>
      <c r="N2" s="33" t="s">
        <v>7</v>
      </c>
      <c r="O2" s="33" t="s">
        <v>8</v>
      </c>
      <c r="P2" s="33" t="s">
        <v>9</v>
      </c>
      <c r="Q2" s="33" t="s">
        <v>10</v>
      </c>
      <c r="R2" s="33" t="s">
        <v>11</v>
      </c>
      <c r="S2" s="33" t="s">
        <v>12</v>
      </c>
      <c r="T2" s="33" t="s">
        <v>13</v>
      </c>
      <c r="U2" s="33" t="s">
        <v>14</v>
      </c>
      <c r="V2" s="33" t="s">
        <v>15</v>
      </c>
      <c r="W2" s="32" t="s">
        <v>82</v>
      </c>
      <c r="X2" s="32" t="s">
        <v>90</v>
      </c>
      <c r="Y2" s="32" t="s">
        <v>91</v>
      </c>
      <c r="Z2" s="32" t="s">
        <v>92</v>
      </c>
    </row>
    <row r="4" spans="1:26" s="4" customFormat="1" x14ac:dyDescent="0.2">
      <c r="B4" s="6"/>
      <c r="C4" s="3"/>
      <c r="D4" s="7"/>
      <c r="E4" s="7"/>
      <c r="F4" s="7"/>
      <c r="G4" s="7"/>
      <c r="H4" s="7"/>
      <c r="J4" s="8"/>
      <c r="K4" s="8"/>
      <c r="L4" s="8"/>
      <c r="M4" s="8"/>
      <c r="N4" s="8"/>
    </row>
    <row r="5" spans="1:26" x14ac:dyDescent="0.2">
      <c r="B5" s="43" t="s">
        <v>16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7" spans="1:26" x14ac:dyDescent="0.2">
      <c r="A7" s="9" t="s">
        <v>38</v>
      </c>
      <c r="B7" s="10">
        <f>Table24a!B7*2000/2204.6225</f>
        <v>2010.4294499398425</v>
      </c>
      <c r="C7" s="10">
        <f>Table24a!C7*2000/2204.6225</f>
        <v>1977.3707290023576</v>
      </c>
      <c r="D7" s="10">
        <f>Table24a!D7*2000/2204.6225</f>
        <v>1385.9805930493769</v>
      </c>
      <c r="E7" s="10">
        <f>Table24a!E7*2000/2204.6225</f>
        <v>1514.9985995334803</v>
      </c>
      <c r="F7" s="10">
        <f>Table24a!F7*2000/2204.6225</f>
        <v>1721.2289178759629</v>
      </c>
      <c r="G7" s="10">
        <f>Table24a!G7*2000/2204.6225</f>
        <v>1208.0508114200957</v>
      </c>
      <c r="H7" s="10">
        <f>Table24a!H7*2000/2204.6225</f>
        <v>1539.9697680668687</v>
      </c>
      <c r="I7" s="10">
        <f>Table24a!I7*2000/2204.6225</f>
        <v>1632.0254374615156</v>
      </c>
      <c r="J7" s="10">
        <f>Table24a!J7*2000/2204.6225</f>
        <v>1509.7115265765456</v>
      </c>
      <c r="K7" s="10">
        <f>Table24a!K7*2000/2204.6225</f>
        <v>1391.7140009230607</v>
      </c>
      <c r="L7" s="10">
        <f>Table24a!L7*2000/2204.6225</f>
        <v>1359.0988933479541</v>
      </c>
      <c r="M7" s="10">
        <f>Table24a!M7*2000/2204.6225</f>
        <v>1250.112434214928</v>
      </c>
      <c r="N7" s="10">
        <f>Table24a!N7*2000/2204.6225</f>
        <v>1795.5736186127103</v>
      </c>
      <c r="O7" s="10">
        <f>Table24a!O7*2000/2204.6225</f>
        <v>1958.1030312445782</v>
      </c>
      <c r="P7" s="10">
        <f>Table24a!P7*2000/2204.6225</f>
        <v>1641.7495512270241</v>
      </c>
      <c r="Q7" s="10">
        <f>Table24a!Q7*2000/2204.6225</f>
        <v>1646.7544897142277</v>
      </c>
      <c r="R7" s="10">
        <f>Table24a!R7*2000/2204.6225</f>
        <v>1863.2632117289961</v>
      </c>
      <c r="S7" s="10">
        <f>Table24a!S7*2000/2204.6225</f>
        <v>1701.83965735631</v>
      </c>
      <c r="T7" s="10">
        <f>Table24a!T7*2000/2204.6225</f>
        <v>1821.5073102084407</v>
      </c>
      <c r="U7" s="10">
        <f>Table24a!U7*2000/2204.6225</f>
        <v>1617.0704961960653</v>
      </c>
      <c r="V7" s="10">
        <f>Table24a!V7*2000/2204.6225</f>
        <v>1467.4521374974677</v>
      </c>
      <c r="W7" s="10">
        <f>Table24a!W7*2000/2204.6225</f>
        <v>1545.6880927144759</v>
      </c>
      <c r="X7" s="10">
        <f>Table24a!X7*2000/2204.6225</f>
        <v>1651.2577550124795</v>
      </c>
      <c r="Y7" s="10">
        <f>Table24a!Y7*2000/2204.6225</f>
        <v>1671.4925117565474</v>
      </c>
      <c r="Z7" s="10">
        <f>Table24a!Z7*2000/2204.6225</f>
        <v>1961.4118148415105</v>
      </c>
    </row>
    <row r="8" spans="1:26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26" x14ac:dyDescent="0.2">
      <c r="A9" s="9" t="s">
        <v>39</v>
      </c>
      <c r="B9" s="10">
        <f>Table24a!B9*2000/2204.6225</f>
        <v>7955.0018200394834</v>
      </c>
      <c r="C9" s="10">
        <f>Table24a!C9*2000/2204.6225</f>
        <v>7166.8206234854269</v>
      </c>
      <c r="D9" s="10">
        <f>Table24a!D9*2000/2204.6225</f>
        <v>7643.6460210308114</v>
      </c>
      <c r="E9" s="10">
        <f>Table24a!E9*2000/2204.6225</f>
        <v>7846.3936569639473</v>
      </c>
      <c r="F9" s="10">
        <f>Table24a!F9*2000/2204.6225</f>
        <v>7144.9765209236502</v>
      </c>
      <c r="G9" s="10">
        <f>Table24a!G9*2000/2204.6225</f>
        <v>6712.1051336453293</v>
      </c>
      <c r="H9" s="10">
        <f>Table24a!H9*2000/2204.6225</f>
        <v>7661.5393338315289</v>
      </c>
      <c r="I9" s="10">
        <f>Table24a!I9*2000/2204.6225</f>
        <v>7395.5110228621916</v>
      </c>
      <c r="J9" s="10">
        <f>Table24a!J9*2000/2204.6225</f>
        <v>6831.944244422798</v>
      </c>
      <c r="K9" s="10">
        <f>Table24a!K9*2000/2204.6225</f>
        <v>7223.5840829892659</v>
      </c>
      <c r="L9" s="10">
        <f>Table24a!L9*2000/2204.6225</f>
        <v>7103.8765140063661</v>
      </c>
      <c r="M9" s="10">
        <f>Table24a!M9*2000/2204.6225</f>
        <v>7700.2507231963755</v>
      </c>
      <c r="N9" s="10">
        <f>Table24a!N9*2000/2204.6225</f>
        <v>8147.8584202057273</v>
      </c>
      <c r="O9" s="10">
        <f>Table24a!O9*2000/2204.6225</f>
        <v>7676.3491255305617</v>
      </c>
      <c r="P9" s="10">
        <f>Table24a!P9*2000/2204.6225</f>
        <v>7852.6949625162606</v>
      </c>
      <c r="Q9" s="10">
        <f>Table24a!Q9*2000/2204.6225</f>
        <v>8154.5688660983915</v>
      </c>
      <c r="R9" s="10">
        <f>Table24a!R9*2000/2204.6225</f>
        <v>8137.0801577140774</v>
      </c>
      <c r="S9" s="10">
        <f>Table24a!S9*2000/2204.6225</f>
        <v>8430.0146623741712</v>
      </c>
      <c r="T9" s="10">
        <f>Table24a!T9*2000/2204.6225</f>
        <v>8163.3830735193897</v>
      </c>
      <c r="U9" s="10">
        <f>Table24a!U9*2000/2204.6225</f>
        <v>7392.6125674576933</v>
      </c>
      <c r="V9" s="10">
        <f>Table24a!V9*2000/2204.6225</f>
        <v>8375.3277488549629</v>
      </c>
      <c r="W9" s="10">
        <f>Table24a!W9*2000/2204.6225</f>
        <v>8307.3206410621315</v>
      </c>
      <c r="X9" s="10">
        <f>Table24a!X9*2000/2204.6225</f>
        <v>8391.8875000141743</v>
      </c>
      <c r="Y9" s="10">
        <f>Table24a!Y9*2000/2204.6225</f>
        <v>8498.6749432159031</v>
      </c>
      <c r="Z9" s="10">
        <f>Table24a!Z9*2000/2204.6225</f>
        <v>8415.4352956118346</v>
      </c>
    </row>
    <row r="10" spans="1:26" x14ac:dyDescent="0.2">
      <c r="A10" s="5" t="s">
        <v>40</v>
      </c>
      <c r="B10" s="10">
        <f>Table24a!B10*2000/2204.6225</f>
        <v>4245.2764588948894</v>
      </c>
      <c r="C10" s="10">
        <f>Table24a!C10*2000/2204.6225</f>
        <v>3552.0412224768638</v>
      </c>
      <c r="D10" s="10">
        <f>Table24a!D10*2000/2204.6225</f>
        <v>4047.8585336038259</v>
      </c>
      <c r="E10" s="10">
        <f>Table24a!E10*2000/2204.6225</f>
        <v>4256.7088016202324</v>
      </c>
      <c r="F10" s="10">
        <f>Table24a!F10*2000/2204.6225</f>
        <v>4182.8231363872956</v>
      </c>
      <c r="G10" s="10">
        <f>Table24a!G10*2000/2204.6225</f>
        <v>4031.5292073813093</v>
      </c>
      <c r="H10" s="10">
        <f>Table24a!H10*2000/2204.6225</f>
        <v>4542.9655190401081</v>
      </c>
      <c r="I10" s="10">
        <f>Table24a!I10*2000/2204.6225</f>
        <v>4282.7313973253922</v>
      </c>
      <c r="J10" s="10">
        <f>Table24a!J10*2000/2204.6225</f>
        <v>3822.4630293848495</v>
      </c>
      <c r="K10" s="10">
        <f>Table24a!K10*2000/2204.6225</f>
        <v>4150.5654596195045</v>
      </c>
      <c r="L10" s="10">
        <f>Table24a!L10*2000/2204.6225</f>
        <v>4226.5258564674905</v>
      </c>
      <c r="M10" s="10">
        <f>Table24a!M10*2000/2204.6225</f>
        <v>4445.6490850474402</v>
      </c>
      <c r="N10" s="10">
        <f>Table24a!N10*2000/2204.6225</f>
        <v>4604.9598060438921</v>
      </c>
      <c r="O10" s="10">
        <f>Table24a!O10*2000/2204.6225</f>
        <v>4349.2824735300492</v>
      </c>
      <c r="P10" s="10">
        <f>Table24a!P10*2000/2204.6225</f>
        <v>4439.1354982542362</v>
      </c>
      <c r="Q10" s="10">
        <f>Table24a!Q10*2000/2204.6225</f>
        <v>4643.9778238678055</v>
      </c>
      <c r="R10" s="10">
        <f>Table24a!R10*2000/2204.6225</f>
        <v>4629.3204392135167</v>
      </c>
      <c r="S10" s="10">
        <f>Table24a!S10*2000/2204.6225</f>
        <v>4788.8761001033054</v>
      </c>
      <c r="T10" s="10">
        <f>Table24a!T10*2000/2204.6225</f>
        <v>4480.4160349447584</v>
      </c>
      <c r="U10" s="10">
        <f>Table24a!U10*2000/2204.6225</f>
        <v>3947.3869109110519</v>
      </c>
      <c r="V10" s="10">
        <f>Table24a!V10*2000/2204.6225</f>
        <v>4619.152712085629</v>
      </c>
      <c r="W10" s="10">
        <f>Table24a!W10*2000/2204.6225</f>
        <v>4676.8904880540777</v>
      </c>
      <c r="X10" s="10">
        <f>Table24a!X10*2000/2204.6225</f>
        <v>4705.9530599909967</v>
      </c>
      <c r="Y10" s="10">
        <f>Table24a!Y10*2000/2204.6225</f>
        <v>4749.7201901912913</v>
      </c>
      <c r="Z10" s="10">
        <f>Table24a!Z10*2000/2204.6225</f>
        <v>4726.3964692367972</v>
      </c>
    </row>
    <row r="11" spans="1:26" x14ac:dyDescent="0.2">
      <c r="A11" s="5" t="s">
        <v>41</v>
      </c>
      <c r="B11" s="10">
        <f>Table24a!B11*2000/2204.6225</f>
        <v>3709.7253611445949</v>
      </c>
      <c r="C11" s="10">
        <f>Table24a!C11*2000/2204.6225</f>
        <v>3614.7794010085627</v>
      </c>
      <c r="D11" s="10">
        <f>Table24a!D11*2000/2204.6225</f>
        <v>3595.7874874269864</v>
      </c>
      <c r="E11" s="10">
        <f>Table24a!E11*2000/2204.6225</f>
        <v>3589.6848553437153</v>
      </c>
      <c r="F11" s="10">
        <f>Table24a!F11*2000/2204.6225</f>
        <v>2962.1533845363551</v>
      </c>
      <c r="G11" s="10">
        <f>Table24a!G11*2000/2204.6225</f>
        <v>2680.5759262640204</v>
      </c>
      <c r="H11" s="10">
        <f>Table24a!H11*2000/2204.6225</f>
        <v>3118.5738147914212</v>
      </c>
      <c r="I11" s="10">
        <f>Table24a!I11*2000/2204.6225</f>
        <v>3112.7796255367989</v>
      </c>
      <c r="J11" s="10">
        <f>Table24a!J11*2000/2204.6225</f>
        <v>3009.4812150379489</v>
      </c>
      <c r="K11" s="10">
        <f>Table24a!K11*2000/2204.6225</f>
        <v>3073.0186233697605</v>
      </c>
      <c r="L11" s="10">
        <f>Table24a!L11*2000/2204.6225</f>
        <v>2877.3506575388756</v>
      </c>
      <c r="M11" s="10">
        <f>Table24a!M11*2000/2204.6225</f>
        <v>3254.6016381489349</v>
      </c>
      <c r="N11" s="10">
        <f>Table24a!N11*2000/2204.6225</f>
        <v>3542.8986141618357</v>
      </c>
      <c r="O11" s="10">
        <f>Table24a!O11*2000/2204.6225</f>
        <v>3327.0666520005125</v>
      </c>
      <c r="P11" s="10">
        <f>Table24a!P11*2000/2204.6225</f>
        <v>3413.5594642620226</v>
      </c>
      <c r="Q11" s="10">
        <f>Table24a!Q11*2000/2204.6225</f>
        <v>3510.5910422305856</v>
      </c>
      <c r="R11" s="10">
        <f>Table24a!R11*2000/2204.6225</f>
        <v>3507.7597185005598</v>
      </c>
      <c r="S11" s="10">
        <f>Table24a!S11*2000/2204.6225</f>
        <v>3641.1385622708644</v>
      </c>
      <c r="T11" s="10">
        <f>Table24a!T11*2000/2204.6225</f>
        <v>3682.9670385746317</v>
      </c>
      <c r="U11" s="10">
        <f>Table24a!U11*2000/2204.6225</f>
        <v>3445.2256565466423</v>
      </c>
      <c r="V11" s="10">
        <f>Table24a!V11*2000/2204.6225</f>
        <v>3757.0822215594735</v>
      </c>
      <c r="W11" s="10">
        <f>Table24a!W11*2000/2204.6225</f>
        <v>3630.4301530080543</v>
      </c>
      <c r="X11" s="10">
        <f>Table24a!X11*2000/2204.6225</f>
        <v>3685.9344400231785</v>
      </c>
      <c r="Y11" s="10">
        <f>Table24a!Y11*2000/2204.6225</f>
        <v>3748.9547530246114</v>
      </c>
      <c r="Z11" s="10">
        <f>Table24a!Z11*2000/2204.6225</f>
        <v>3689.0388263750369</v>
      </c>
    </row>
    <row r="12" spans="1:26" x14ac:dyDescent="0.2">
      <c r="A12" s="5" t="s">
        <v>42</v>
      </c>
      <c r="B12" s="10">
        <f>Table24a!B12*2000/2204.6225</f>
        <v>1865.7706704889383</v>
      </c>
      <c r="C12" s="10">
        <f>Table24a!C12*2000/2204.6225</f>
        <v>1796.4808034028501</v>
      </c>
      <c r="D12" s="10">
        <f>Table24a!D12*2000/2204.6225</f>
        <v>1931.5288671870128</v>
      </c>
      <c r="E12" s="10">
        <f>Table24a!E12*2000/2204.6225</f>
        <v>1954.0606158197152</v>
      </c>
      <c r="F12" s="10">
        <f>Table24a!F12*2000/2204.6225</f>
        <v>1535.5027901602202</v>
      </c>
      <c r="G12" s="10">
        <f>Table24a!G12*2000/2204.6225</f>
        <v>1240.4917395154953</v>
      </c>
      <c r="H12" s="10">
        <f>Table24a!H12*2000/2204.6225</f>
        <v>1559.0197414750144</v>
      </c>
      <c r="I12" s="10">
        <f>Table24a!I12*2000/2204.6225</f>
        <v>1492.4205844764806</v>
      </c>
      <c r="J12" s="10">
        <f>Table24a!J12*2000/2204.6225</f>
        <v>1430.6059200611444</v>
      </c>
      <c r="K12" s="10">
        <f>Table24a!K12*2000/2204.6225</f>
        <v>1493.0166048836027</v>
      </c>
      <c r="L12" s="10">
        <f>Table24a!L12*2000/2204.6225</f>
        <v>1299.6646818219447</v>
      </c>
      <c r="M12" s="10">
        <f>Table24a!M12*2000/2204.6225</f>
        <v>1658.1251438738379</v>
      </c>
      <c r="N12" s="10">
        <f>Table24a!N12*2000/2204.6225</f>
        <v>1693.6505002557128</v>
      </c>
      <c r="O12" s="10">
        <f>Table24a!O12*2000/2204.6225</f>
        <v>1599.1753690257628</v>
      </c>
      <c r="P12" s="10">
        <f>Table24a!P12*2000/2204.6225</f>
        <v>1797.3272068120507</v>
      </c>
      <c r="Q12" s="10">
        <f>Table24a!Q12*2000/2204.6225</f>
        <v>1971.2599322559759</v>
      </c>
      <c r="R12" s="10">
        <f>Table24a!R12*2000/2204.6225</f>
        <v>1863.96265120219</v>
      </c>
      <c r="S12" s="10">
        <f>Table24a!S12*2000/2204.6225</f>
        <v>1798.9982411954882</v>
      </c>
      <c r="T12" s="10">
        <f>Table24a!T12*2000/2204.6225</f>
        <v>1819.1195998407891</v>
      </c>
      <c r="U12" s="10">
        <f>Table24a!U12*2000/2204.6225</f>
        <v>1910.3969046854961</v>
      </c>
      <c r="V12" s="10">
        <f>Table24a!V12*2000/2204.6225</f>
        <v>1896.1504747411407</v>
      </c>
      <c r="W12" s="10">
        <f>Table24a!W12*2000/2204.6225</f>
        <v>1754.8664227095569</v>
      </c>
      <c r="X12" s="10">
        <f>Table24a!X12*2000/2204.6225</f>
        <v>1800.9886046250549</v>
      </c>
      <c r="Y12" s="10">
        <f>Table24a!Y12*2000/2204.6225</f>
        <v>1884.2699827294698</v>
      </c>
      <c r="Z12" s="10">
        <f>Table24a!Z12*2000/2204.6225</f>
        <v>1862.0412338166739</v>
      </c>
    </row>
    <row r="13" spans="1:26" x14ac:dyDescent="0.2">
      <c r="A13" s="5" t="s">
        <v>43</v>
      </c>
      <c r="B13" s="10">
        <f>Table24a!B13*2000/2204.6225</f>
        <v>1437.9704461874992</v>
      </c>
      <c r="C13" s="10">
        <f>Table24a!C13*2000/2204.6225</f>
        <v>1433.2893726703778</v>
      </c>
      <c r="D13" s="10">
        <f>Table24a!D13*2000/2204.6225</f>
        <v>1240.3393324707517</v>
      </c>
      <c r="E13" s="10">
        <f>Table24a!E13*2000/2204.6225</f>
        <v>1249.1934560225163</v>
      </c>
      <c r="F13" s="10">
        <f>Table24a!F13*2000/2204.6225</f>
        <v>1049.4068712443968</v>
      </c>
      <c r="G13" s="10">
        <f>Table24a!G13*2000/2204.6225</f>
        <v>1079.3466908733808</v>
      </c>
      <c r="H13" s="10">
        <f>Table24a!H13*2000/2204.6225</f>
        <v>1197.6190935182781</v>
      </c>
      <c r="I13" s="10">
        <f>Table24a!I13*2000/2204.6225</f>
        <v>1311.9815297176729</v>
      </c>
      <c r="J13" s="10">
        <f>Table24a!J13*2000/2204.6225</f>
        <v>1267.2491549006691</v>
      </c>
      <c r="K13" s="10">
        <f>Table24a!K13*2000/2204.6225</f>
        <v>1332.4349179961648</v>
      </c>
      <c r="L13" s="10">
        <f>Table24a!L13*2000/2204.6225</f>
        <v>1280.1974034103343</v>
      </c>
      <c r="M13" s="10">
        <f>Table24a!M13*2000/2204.6225</f>
        <v>1304.8855302891991</v>
      </c>
      <c r="N13" s="10">
        <f>Table24a!N13*2000/2204.6225</f>
        <v>1529.5135561757172</v>
      </c>
      <c r="O13" s="10">
        <f>Table24a!O13*2000/2204.6225</f>
        <v>1443.5314889510562</v>
      </c>
      <c r="P13" s="10">
        <f>Table24a!P13*2000/2204.6225</f>
        <v>1372.3329050665136</v>
      </c>
      <c r="Q13" s="10">
        <f>Table24a!Q13*2000/2204.6225</f>
        <v>1295.540619765969</v>
      </c>
      <c r="R13" s="10">
        <f>Table24a!R13*2000/2204.6225</f>
        <v>1477.2987212096402</v>
      </c>
      <c r="S13" s="10">
        <f>Table24a!S13*2000/2204.6225</f>
        <v>1689.020229086839</v>
      </c>
      <c r="T13" s="10">
        <f>Table24a!T13*2000/2204.6225</f>
        <v>1730.2263766245696</v>
      </c>
      <c r="U13" s="10">
        <f>Table24a!U13*2000/2204.6225</f>
        <v>1420.3102798778475</v>
      </c>
      <c r="V13" s="10">
        <f>Table24a!V13*2000/2204.6225</f>
        <v>1739.812598301977</v>
      </c>
      <c r="W13" s="10">
        <f>Table24a!W13*2000/2204.6225</f>
        <v>1763.3005197034868</v>
      </c>
      <c r="X13" s="10">
        <f>Table24a!X13*2000/2204.6225</f>
        <v>1815.6069803333678</v>
      </c>
      <c r="Y13" s="10">
        <f>Table24a!Y13*2000/2204.6225</f>
        <v>1828.6613694634796</v>
      </c>
      <c r="Z13" s="10">
        <f>Table24a!Z13*2000/2204.6225</f>
        <v>1826.9975925583633</v>
      </c>
    </row>
    <row r="14" spans="1:26" x14ac:dyDescent="0.2">
      <c r="A14" s="22" t="s">
        <v>93</v>
      </c>
      <c r="B14" s="10">
        <f>Table24a!B14*2000/2204.6225</f>
        <v>186.96262058470327</v>
      </c>
      <c r="C14" s="10">
        <f>Table24a!C14*2000/2204.6225</f>
        <v>157.6360578738537</v>
      </c>
      <c r="D14" s="10">
        <f>Table24a!D14*2000/2204.6225</f>
        <v>173.25868714485134</v>
      </c>
      <c r="E14" s="10">
        <f>Table24a!E14*2000/2204.6225</f>
        <v>158.80541906834389</v>
      </c>
      <c r="F14" s="10">
        <f>Table24a!F14*2000/2204.6225</f>
        <v>143.29346634174331</v>
      </c>
      <c r="G14" s="10">
        <f>Table24a!G14*2000/2204.6225</f>
        <v>158.75733827446649</v>
      </c>
      <c r="H14" s="10">
        <f>Table24a!H14*2000/2204.6225</f>
        <v>160.92641710769078</v>
      </c>
      <c r="I14" s="10">
        <f>Table24a!I14*2000/2204.6225</f>
        <v>142.96143670855216</v>
      </c>
      <c r="J14" s="10">
        <f>Table24a!J14*2000/2204.6225</f>
        <v>137.83039953552139</v>
      </c>
      <c r="K14" s="10">
        <f>Table24a!K14*2000/2204.6225</f>
        <v>101.29534648222088</v>
      </c>
      <c r="L14" s="10">
        <f>Table24a!L14*2000/2204.6225</f>
        <v>132.26119210885309</v>
      </c>
      <c r="M14" s="10">
        <f>Table24a!M14*2000/2204.6225</f>
        <v>135.91261088916585</v>
      </c>
      <c r="N14" s="10">
        <f>Table24a!N14*2000/2204.6225</f>
        <v>156.91938188964323</v>
      </c>
      <c r="O14" s="10">
        <f>Table24a!O14*2000/2204.6225</f>
        <v>131.85114458370992</v>
      </c>
      <c r="P14" s="10">
        <f>Table24a!P14*2000/2204.6225</f>
        <v>111.83139063490462</v>
      </c>
      <c r="Q14" s="10">
        <f>Table24a!Q14*2000/2204.6225</f>
        <v>105.61173171370608</v>
      </c>
      <c r="R14" s="10">
        <f>Table24a!R14*2000/2204.6225</f>
        <v>127.31068470906017</v>
      </c>
      <c r="S14" s="10">
        <f>Table24a!S14*2000/2204.6225</f>
        <v>153.12009198853772</v>
      </c>
      <c r="T14" s="10">
        <f>Table24a!T14*2000/2204.6225</f>
        <v>133.62106210927269</v>
      </c>
      <c r="U14" s="10">
        <f>Table24a!U14*2000/2204.6225</f>
        <v>114.51847198329872</v>
      </c>
      <c r="V14" s="10">
        <f>Table24a!V14*2000/2204.6225</f>
        <v>121.11914851635598</v>
      </c>
      <c r="W14" s="10">
        <f>Table24a!W14*2000/2204.6225</f>
        <v>112.26321059501117</v>
      </c>
      <c r="X14" s="10">
        <f>Table24a!X14*2000/2204.6225</f>
        <v>69.33885506475599</v>
      </c>
      <c r="Y14" s="10">
        <f>Table24a!Y14*2000/2204.6225</f>
        <v>36.023400831661654</v>
      </c>
      <c r="Z14" s="10">
        <f>Table24a!Z14*2000/2204.6225</f>
        <v>0</v>
      </c>
    </row>
    <row r="15" spans="1:26" x14ac:dyDescent="0.2">
      <c r="A15" s="5" t="s">
        <v>44</v>
      </c>
      <c r="B15" s="10">
        <f>Table24a!B15*2000/2204.6225</f>
        <v>218.98533649184839</v>
      </c>
      <c r="C15" s="10">
        <f>Table24a!C15*2000/2204.6225</f>
        <v>227.31420005012197</v>
      </c>
      <c r="D15" s="10">
        <f>Table24a!D15*2000/2204.6225</f>
        <v>250.66060062436995</v>
      </c>
      <c r="E15" s="10">
        <f>Table24a!E15*2000/2204.6225</f>
        <v>227.62536443313991</v>
      </c>
      <c r="F15" s="10">
        <f>Table24a!F15*2000/2204.6225</f>
        <v>233.95025678999468</v>
      </c>
      <c r="G15" s="10">
        <f>Table24a!G15*2000/2204.6225</f>
        <v>201.98015760067767</v>
      </c>
      <c r="H15" s="10">
        <f>Table24a!H15*2000/2204.6225</f>
        <v>201.00856269043794</v>
      </c>
      <c r="I15" s="10">
        <f>Table24a!I15*2000/2204.6225</f>
        <v>165.41607463409269</v>
      </c>
      <c r="J15" s="10">
        <f>Table24a!J15*2000/2204.6225</f>
        <v>173.7957405406141</v>
      </c>
      <c r="K15" s="10">
        <f>Table24a!K15*2000/2204.6225</f>
        <v>146.2717540077723</v>
      </c>
      <c r="L15" s="10">
        <f>Table24a!L15*2000/2204.6225</f>
        <v>165.2273801977436</v>
      </c>
      <c r="M15" s="10">
        <f>Table24a!M15*2000/2204.6225</f>
        <v>155.678353096732</v>
      </c>
      <c r="N15" s="10">
        <f>Table24a!N15*2000/2204.6225</f>
        <v>162.81517584076187</v>
      </c>
      <c r="O15" s="10">
        <f>Table24a!O15*2000/2204.6225</f>
        <v>152.50864943998349</v>
      </c>
      <c r="P15" s="10">
        <f>Table24a!P15*2000/2204.6225</f>
        <v>132.06796174855333</v>
      </c>
      <c r="Q15" s="10">
        <f>Table24a!Q15*2000/2204.6225</f>
        <v>138.17875849493507</v>
      </c>
      <c r="R15" s="10">
        <f>Table24a!R15*2000/2204.6225</f>
        <v>39.187661379669308</v>
      </c>
      <c r="S15" s="10">
        <f>Table24a!S15*2000/2204.6225</f>
        <v>0</v>
      </c>
      <c r="T15" s="10">
        <f>Table24a!T15*2000/2204.6225</f>
        <v>0</v>
      </c>
      <c r="U15" s="10">
        <f>Table24a!U15*2000/2204.6225</f>
        <v>0</v>
      </c>
      <c r="V15" s="10">
        <f>Table24a!V15*2000/2204.6225</f>
        <v>0</v>
      </c>
      <c r="W15" s="10">
        <f>Table24a!W15*2000/2204.6225</f>
        <v>0</v>
      </c>
      <c r="X15" s="10">
        <f>Table24a!X15*2000/2204.6225</f>
        <v>0</v>
      </c>
      <c r="Y15" s="10">
        <f>Table24a!Y15*2000/2204.6225</f>
        <v>0</v>
      </c>
      <c r="Z15" s="10">
        <f>Table24a!Z15*2000/2204.6225</f>
        <v>0</v>
      </c>
    </row>
    <row r="16" spans="1:26" x14ac:dyDescent="0.2">
      <c r="A16" s="5" t="s">
        <v>45</v>
      </c>
      <c r="B16" s="10">
        <f>Table24a!B16*2000/2204.6225</f>
        <v>3.6287391605592342E-2</v>
      </c>
      <c r="C16" s="10">
        <f>Table24a!C16*2000/2204.6225</f>
        <v>5.8967011359087558E-2</v>
      </c>
      <c r="D16" s="10">
        <f>Table24a!D16*2000/2204.6225</f>
        <v>0</v>
      </c>
      <c r="E16" s="10">
        <f>Table24a!E16*2000/2204.6225</f>
        <v>0</v>
      </c>
      <c r="F16" s="10">
        <f>Table24a!F16*2000/2204.6225</f>
        <v>0</v>
      </c>
      <c r="G16" s="10">
        <f>Table24a!G16*2000/2204.6225</f>
        <v>0</v>
      </c>
      <c r="H16" s="10">
        <f>Table24a!H16*2000/2204.6225</f>
        <v>0</v>
      </c>
      <c r="I16" s="10">
        <f>Table24a!I16*2000/2204.6225</f>
        <v>0</v>
      </c>
      <c r="J16" s="10">
        <f>Table24a!J16*2000/2204.6225</f>
        <v>0</v>
      </c>
      <c r="K16" s="10">
        <f>Table24a!K16*2000/2204.6225</f>
        <v>0</v>
      </c>
      <c r="L16" s="10">
        <f>Table24a!L16*2000/2204.6225</f>
        <v>0</v>
      </c>
      <c r="M16" s="10">
        <f>Table24a!M16*2000/2204.6225</f>
        <v>0</v>
      </c>
      <c r="N16" s="10">
        <f>Table24a!N16*2000/2204.6225</f>
        <v>0</v>
      </c>
      <c r="O16" s="10">
        <f>Table24a!O16*2000/2204.6225</f>
        <v>0</v>
      </c>
      <c r="P16" s="10">
        <f>Table24a!P16*2000/2204.6225</f>
        <v>0</v>
      </c>
      <c r="Q16" s="10">
        <f>Table24a!Q16*2000/2204.6225</f>
        <v>0</v>
      </c>
      <c r="R16" s="10">
        <f>Table24a!R16*2000/2204.6225</f>
        <v>0</v>
      </c>
      <c r="S16" s="10">
        <f>Table24a!S16*2000/2204.6225</f>
        <v>0</v>
      </c>
      <c r="T16" s="10">
        <f>Table24a!T16*2000/2204.6225</f>
        <v>0</v>
      </c>
      <c r="U16" s="10">
        <f>Table24a!U16*2000/2204.6225</f>
        <v>0</v>
      </c>
      <c r="V16" s="10">
        <f>Table24a!V16*2000/2204.6225</f>
        <v>0</v>
      </c>
      <c r="W16" s="10">
        <f>Table24a!W16*2000/2204.6225</f>
        <v>0</v>
      </c>
      <c r="X16" s="10">
        <f>Table24a!X16*2000/2204.6225</f>
        <v>0</v>
      </c>
      <c r="Y16" s="10">
        <f>Table24a!Y16*2000/2204.6225</f>
        <v>0</v>
      </c>
      <c r="Z16" s="10">
        <f>Table24a!Z16*2000/2204.6225</f>
        <v>0</v>
      </c>
    </row>
    <row r="17" spans="1:27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7" x14ac:dyDescent="0.2">
      <c r="A18" s="5" t="s">
        <v>46</v>
      </c>
      <c r="B18" s="10">
        <f>Table24a!B18*2000/2204.6225</f>
        <v>1442.8184417060063</v>
      </c>
      <c r="C18" s="10">
        <f>Table24a!C18*2000/2204.6225</f>
        <v>1392.7509131381903</v>
      </c>
      <c r="D18" s="10">
        <f>Table24a!D18*2000/2204.6225</f>
        <v>1569.7626237598502</v>
      </c>
      <c r="E18" s="10">
        <f>Table24a!E18*2000/2204.6225</f>
        <v>1588.0151817374631</v>
      </c>
      <c r="F18" s="10">
        <f>Table24a!F18*2000/2204.6225</f>
        <v>1905.088059293598</v>
      </c>
      <c r="G18" s="10">
        <f>Table24a!G18*2000/2204.6225</f>
        <v>3123.8001063674169</v>
      </c>
      <c r="H18" s="10">
        <f>Table24a!H18*2000/2204.6225</f>
        <v>1886.5642530637333</v>
      </c>
      <c r="I18" s="10">
        <f>Table24a!I18*2000/2204.6225</f>
        <v>2376.8241501662983</v>
      </c>
      <c r="J18" s="10">
        <f>Table24a!J18*2000/2204.6225</f>
        <v>2795.9435232108899</v>
      </c>
      <c r="K18" s="10">
        <f>Table24a!K18*2000/2204.6225</f>
        <v>3011.7754853722117</v>
      </c>
      <c r="L18" s="10">
        <f>Table24a!L18*2000/2204.6225</f>
        <v>3391.3198291317449</v>
      </c>
      <c r="M18" s="10">
        <f>Table24a!M18*2000/2204.6225</f>
        <v>3294.9532176143539</v>
      </c>
      <c r="N18" s="10">
        <f>Table24a!N18*2000/2204.6225</f>
        <v>2925.0685775002298</v>
      </c>
      <c r="O18" s="10">
        <f>Table24a!O18*2000/2204.6225</f>
        <v>3394.4614100599988</v>
      </c>
      <c r="P18" s="10">
        <f>Table24a!P18*2000/2204.6225</f>
        <v>3223.4207897270389</v>
      </c>
      <c r="Q18" s="10">
        <f>Table24a!Q18*2000/2204.6225</f>
        <v>3030.7501624427764</v>
      </c>
      <c r="R18" s="10">
        <f>Table24a!R18*2000/2204.6225</f>
        <v>2942.6697767985229</v>
      </c>
      <c r="S18" s="10">
        <f>Table24a!S18*2000/2204.6225</f>
        <v>2972.8400213642017</v>
      </c>
      <c r="T18" s="10">
        <f>Table24a!T18*2000/2204.6225</f>
        <v>2785.2895450354886</v>
      </c>
      <c r="U18" s="10">
        <f>Table24a!U18*2000/2204.6225</f>
        <v>3778.4854323132417</v>
      </c>
      <c r="V18" s="10">
        <f>Table24a!V18*2000/2204.6225</f>
        <v>2922.1532245000712</v>
      </c>
      <c r="W18" s="10">
        <f>Table24a!W18*2000/2204.6225</f>
        <v>3307.3628624957332</v>
      </c>
      <c r="X18" s="10">
        <f>Table24a!X18*2000/2204.6225</f>
        <v>3278.8933252745087</v>
      </c>
      <c r="Y18" s="10">
        <f>Table24a!Y18*2000/2204.6225</f>
        <v>3415.7489600502659</v>
      </c>
      <c r="Z18" s="10">
        <f>Table24a!Z18*2000/2204.6225</f>
        <v>2341.3559490018893</v>
      </c>
    </row>
    <row r="19" spans="1:27" x14ac:dyDescent="0.2">
      <c r="A19" s="5" t="s">
        <v>47</v>
      </c>
      <c r="B19" s="10">
        <f>Table24a!B19*2000/2204.6225</f>
        <v>1158.3842585295215</v>
      </c>
      <c r="C19" s="10">
        <f>Table24a!C19*2000/2204.6225</f>
        <v>1050.9508997572148</v>
      </c>
      <c r="D19" s="10">
        <f>Table24a!D19*2000/2204.6225</f>
        <v>1098.0265328871496</v>
      </c>
      <c r="E19" s="10">
        <f>Table24a!E19*2000/2204.6225</f>
        <v>1112.6503517042033</v>
      </c>
      <c r="F19" s="10">
        <f>Table24a!F19*2000/2204.6225</f>
        <v>1277.3161845168504</v>
      </c>
      <c r="G19" s="10">
        <f>Table24a!G19*2000/2204.6225</f>
        <v>2348.1571107978803</v>
      </c>
      <c r="H19" s="10">
        <f>Table24a!H19*2000/2204.6225</f>
        <v>1472.8879887599805</v>
      </c>
      <c r="I19" s="10">
        <f>Table24a!I19*2000/2204.6225</f>
        <v>1228.3282058493007</v>
      </c>
      <c r="J19" s="10">
        <f>Table24a!J19*2000/2204.6225</f>
        <v>1242.8431624915377</v>
      </c>
      <c r="K19" s="10">
        <f>Table24a!K19*2000/2204.6225</f>
        <v>1682.2662383242482</v>
      </c>
      <c r="L19" s="10">
        <f>Table24a!L19*2000/2204.6225</f>
        <v>1561.4981703216765</v>
      </c>
      <c r="M19" s="10">
        <f>Table24a!M19*2000/2204.6225</f>
        <v>1708.6199564778096</v>
      </c>
      <c r="N19" s="10">
        <f>Table24a!N19*2000/2204.6225</f>
        <v>868.21576029456287</v>
      </c>
      <c r="O19" s="10">
        <f>Table24a!O19*2000/2204.6225</f>
        <v>1181.2371505779333</v>
      </c>
      <c r="P19" s="10">
        <f>Table24a!P19*2000/2204.6225</f>
        <v>1393.2262779682237</v>
      </c>
      <c r="Q19" s="10">
        <f>Table24a!Q19*2000/2204.6225</f>
        <v>1469.3000729149776</v>
      </c>
      <c r="R19" s="10">
        <f>Table24a!R19*2000/2204.6225</f>
        <v>1461.8021906244721</v>
      </c>
      <c r="S19" s="10">
        <f>Table24a!S19*2000/2204.6225</f>
        <v>1508.9803356356929</v>
      </c>
      <c r="T19" s="10">
        <f>Table24a!T19*2000/2204.6225</f>
        <v>1397.8991868222338</v>
      </c>
      <c r="U19" s="10">
        <f>Table24a!U19*2000/2204.6225</f>
        <v>1951.9550399218012</v>
      </c>
      <c r="V19" s="10">
        <f>Table24a!V19*2000/2204.6225</f>
        <v>1586.6407967804012</v>
      </c>
      <c r="W19" s="10">
        <f>Table24a!W19*2000/2204.6225</f>
        <v>1432.3713016627562</v>
      </c>
      <c r="X19" s="10">
        <f>Table24a!X19*2000/2204.6225</f>
        <v>1689.4538634165258</v>
      </c>
      <c r="Y19" s="10">
        <f>Table24a!Y19*2000/2204.6225</f>
        <v>1622.0917640094849</v>
      </c>
      <c r="Z19" s="10">
        <f>Table24a!Z19*2000/2204.6225</f>
        <v>1477.0419879140306</v>
      </c>
    </row>
    <row r="20" spans="1:27" x14ac:dyDescent="0.2">
      <c r="A20" s="9" t="s">
        <v>48</v>
      </c>
      <c r="B20" s="10">
        <f>Table24a!B20*2000/2204.6225</f>
        <v>215.73761494314786</v>
      </c>
      <c r="C20" s="10">
        <f>Table24a!C20*2000/2204.6225</f>
        <v>268.52669788138331</v>
      </c>
      <c r="D20" s="10">
        <f>Table24a!D20*2000/2204.6225</f>
        <v>442.70617758822658</v>
      </c>
      <c r="E20" s="10">
        <f>Table24a!E20*2000/2204.6225</f>
        <v>420.93374262487117</v>
      </c>
      <c r="F20" s="10">
        <f>Table24a!F20*2000/2204.6225</f>
        <v>453.59239506990428</v>
      </c>
      <c r="G20" s="10">
        <f>Table24a!G20*2000/2204.6225</f>
        <v>316.60749175879317</v>
      </c>
      <c r="H20" s="10">
        <f>Table24a!H20*2000/2204.6225</f>
        <v>353.80206815452533</v>
      </c>
      <c r="I20" s="10">
        <f>Table24a!I20*2000/2204.6225</f>
        <v>512.55940642899179</v>
      </c>
      <c r="J20" s="10">
        <f>Table24a!J20*2000/2204.6225</f>
        <v>279.41291536306102</v>
      </c>
      <c r="K20" s="10">
        <f>Table24a!K20*2000/2204.6225</f>
        <v>406.83609098609855</v>
      </c>
      <c r="L20" s="10">
        <f>Table24a!L20*2000/2204.6225</f>
        <v>264.09328581197008</v>
      </c>
      <c r="M20" s="10">
        <f>Table24a!M20*2000/2204.6225</f>
        <v>602.4840987516003</v>
      </c>
      <c r="N20" s="10">
        <f>Table24a!N20*2000/2204.6225</f>
        <v>123.61027795007989</v>
      </c>
      <c r="O20" s="10">
        <f>Table24a!O20*2000/2204.6225</f>
        <v>276.69136099264159</v>
      </c>
      <c r="P20" s="10">
        <f>Table24a!P20*2000/2204.6225</f>
        <v>427.4709162226186</v>
      </c>
      <c r="Q20" s="10">
        <f>Table24a!Q20*2000/2204.6225</f>
        <v>359.16897337299241</v>
      </c>
      <c r="R20" s="10">
        <f>Table24a!R20*2000/2204.6225</f>
        <v>380.1730228190994</v>
      </c>
      <c r="S20" s="10">
        <f>Table24a!S20*2000/2204.6225</f>
        <v>296.10874424079407</v>
      </c>
      <c r="T20" s="10">
        <f>Table24a!T20*2000/2204.6225</f>
        <v>397.05845331797167</v>
      </c>
      <c r="U20" s="10">
        <f>Table24a!U20*2000/2204.6225</f>
        <v>392.27123918040394</v>
      </c>
      <c r="V20" s="10">
        <f>Table24a!V20*2000/2204.6225</f>
        <v>265.27806914789267</v>
      </c>
      <c r="W20" s="10">
        <f>Table24a!W20*2000/2204.6225</f>
        <v>270.25125616743912</v>
      </c>
      <c r="X20" s="10">
        <f>Table24a!X20*2000/2204.6225</f>
        <v>128.34396818502941</v>
      </c>
      <c r="Y20" s="10">
        <f>Table24a!Y20*2000/2204.6225</f>
        <v>204.56019114383528</v>
      </c>
      <c r="Z20" s="10">
        <f>Table24a!Z20*2000/2204.6225</f>
        <v>181.43695802796171</v>
      </c>
    </row>
    <row r="21" spans="1:27" x14ac:dyDescent="0.2">
      <c r="A21" s="5" t="s">
        <v>49</v>
      </c>
      <c r="B21" s="10">
        <f>Table24a!B21*2000/2204.6225</f>
        <v>68.696568233337018</v>
      </c>
      <c r="C21" s="10">
        <f>Table24a!C21*2000/2204.6225</f>
        <v>73.273315499592329</v>
      </c>
      <c r="D21" s="10">
        <f>Table24a!D21*2000/2204.6225</f>
        <v>29.029913284473874</v>
      </c>
      <c r="E21" s="10">
        <f>Table24a!E21*2000/2204.6225</f>
        <v>54.431087408388514</v>
      </c>
      <c r="F21" s="10">
        <f>Table24a!F21*2000/2204.6225</f>
        <v>174.17947970684324</v>
      </c>
      <c r="G21" s="10">
        <f>Table24a!G21*2000/2204.6225</f>
        <v>459.03550381074314</v>
      </c>
      <c r="H21" s="10">
        <f>Table24a!H21*2000/2204.6225</f>
        <v>59.874196149227366</v>
      </c>
      <c r="I21" s="10">
        <f>Table24a!I21*2000/2204.6225</f>
        <v>635.93653788800577</v>
      </c>
      <c r="J21" s="10">
        <f>Table24a!J21*2000/2204.6225</f>
        <v>1273.6874453562912</v>
      </c>
      <c r="K21" s="10">
        <f>Table24a!K21*2000/2204.6225</f>
        <v>922.67315606186548</v>
      </c>
      <c r="L21" s="10">
        <f>Table24a!L21*2000/2204.6225</f>
        <v>1565.7283729980984</v>
      </c>
      <c r="M21" s="10">
        <f>Table24a!M21*2000/2204.6225</f>
        <v>983.8491623849435</v>
      </c>
      <c r="N21" s="10">
        <f>Table24a!N21*2000/2204.6225</f>
        <v>1933.242539255587</v>
      </c>
      <c r="O21" s="10">
        <f>Table24a!O21*2000/2204.6225</f>
        <v>1936.5328984894245</v>
      </c>
      <c r="P21" s="10">
        <f>Table24a!P21*2000/2204.6225</f>
        <v>1402.7235955361971</v>
      </c>
      <c r="Q21" s="10">
        <f>Table24a!Q21*2000/2204.6225</f>
        <v>1202.2811161548066</v>
      </c>
      <c r="R21" s="10">
        <f>Table24a!R21*2000/2204.6225</f>
        <v>1100.6945633549508</v>
      </c>
      <c r="S21" s="10">
        <f>Table24a!S21*2000/2204.6225</f>
        <v>1167.750941487715</v>
      </c>
      <c r="T21" s="10">
        <f>Table24a!T21*2000/2204.6225</f>
        <v>990.33190489528261</v>
      </c>
      <c r="U21" s="10">
        <f>Table24a!U21*2000/2204.6225</f>
        <v>1434.2591532110373</v>
      </c>
      <c r="V21" s="10">
        <f>Table24a!V21*2000/2204.6225</f>
        <v>1070.2343585717772</v>
      </c>
      <c r="W21" s="10">
        <f>Table24a!W21*2000/2204.6225</f>
        <v>1604.7403046655381</v>
      </c>
      <c r="X21" s="10">
        <f>Table24a!X21*2000/2204.6225</f>
        <v>1461.0954936729529</v>
      </c>
      <c r="Y21" s="10">
        <f>Table24a!Y21*2000/2204.6225</f>
        <v>1589.0970048969459</v>
      </c>
      <c r="Z21" s="10">
        <f>Table24a!Z21*2000/2204.6225</f>
        <v>682.87700305989665</v>
      </c>
    </row>
    <row r="22" spans="1:27" x14ac:dyDescent="0.2">
      <c r="A22" s="5" t="s">
        <v>50</v>
      </c>
      <c r="B22" s="28" t="s">
        <v>84</v>
      </c>
      <c r="C22" s="28" t="s">
        <v>84</v>
      </c>
      <c r="D22" s="28" t="s">
        <v>84</v>
      </c>
      <c r="E22" s="28" t="s">
        <v>84</v>
      </c>
      <c r="F22" s="28" t="s">
        <v>84</v>
      </c>
      <c r="G22" s="28" t="s">
        <v>84</v>
      </c>
      <c r="H22" s="10">
        <f>Table24a!H22*2000/2204.6225</f>
        <v>54.431087408388514</v>
      </c>
      <c r="I22" s="10">
        <f>Table24a!I22*2000/2204.6225</f>
        <v>629.58624435702711</v>
      </c>
      <c r="J22" s="10">
        <f>Table24a!J22*2000/2204.6225</f>
        <v>1271.8730757760115</v>
      </c>
      <c r="K22" s="10">
        <f>Table24a!K22*2000/2204.6225</f>
        <v>732.16435013250566</v>
      </c>
      <c r="L22" s="10">
        <f>Table24a!L22*2000/2204.6225</f>
        <v>1549.0452447074272</v>
      </c>
      <c r="M22" s="10">
        <f>Table24a!M22*2000/2204.6225</f>
        <v>971.85890101366567</v>
      </c>
      <c r="N22" s="10">
        <f>Table24a!N22*2000/2204.6225</f>
        <v>1927.2006885532558</v>
      </c>
      <c r="O22" s="10">
        <f>Table24a!O22*2000/2204.6225</f>
        <v>1931.9742949189715</v>
      </c>
      <c r="P22" s="10">
        <f>Table24a!P22*2000/2204.6225</f>
        <v>1389.4623682739336</v>
      </c>
      <c r="Q22" s="10">
        <f>Table24a!Q22*2000/2204.6225</f>
        <v>1187.3624622809575</v>
      </c>
      <c r="R22" s="10">
        <f>Table24a!R22*2000/2204.6225</f>
        <v>1089.9625672875968</v>
      </c>
      <c r="S22" s="10">
        <f>Table24a!S22*2000/2204.6225</f>
        <v>1109.7500819301265</v>
      </c>
      <c r="T22" s="10">
        <f>Table24a!T22*2000/2204.6225</f>
        <v>907.58758018663059</v>
      </c>
      <c r="U22" s="10">
        <f>Table24a!U22*2000/2204.6225</f>
        <v>1247.8344932068869</v>
      </c>
      <c r="V22" s="10">
        <f>Table24a!V22*2000/2204.6225</f>
        <v>878.04057157177704</v>
      </c>
      <c r="W22" s="10">
        <f>Table24a!W22*2000/2204.6225</f>
        <v>1250.921</v>
      </c>
      <c r="X22" s="10">
        <f>Table24a!X22*2000/2204.6225</f>
        <v>1048.5931264876413</v>
      </c>
      <c r="Y22" s="10">
        <f>Table24a!Y22*2000/2204.6225</f>
        <v>472.65506906511212</v>
      </c>
      <c r="Z22" s="10">
        <f>Table24a!Z22*2000/2204.6225</f>
        <v>358.30397267559385</v>
      </c>
    </row>
    <row r="23" spans="1:27" x14ac:dyDescent="0.2">
      <c r="A23" s="36" t="s">
        <v>102</v>
      </c>
      <c r="B23" s="28" t="s">
        <v>84</v>
      </c>
      <c r="C23" s="28" t="s">
        <v>84</v>
      </c>
      <c r="D23" s="28" t="s">
        <v>84</v>
      </c>
      <c r="E23" s="28" t="s">
        <v>84</v>
      </c>
      <c r="F23" s="28" t="s">
        <v>84</v>
      </c>
      <c r="G23" s="28" t="s">
        <v>84</v>
      </c>
      <c r="H23" s="10">
        <f>Table24a!H23*2000/2204.6225</f>
        <v>5.4431087408388512</v>
      </c>
      <c r="I23" s="10">
        <f>Table24a!I23*2000/2204.6225</f>
        <v>6.3502935309786599</v>
      </c>
      <c r="J23" s="10">
        <f>Table24a!J23*2000/2204.6225</f>
        <v>1.8143695802796171</v>
      </c>
      <c r="K23" s="10">
        <f>Table24a!K23*2000/2204.6225</f>
        <v>190.5088059293598</v>
      </c>
      <c r="L23" s="10">
        <f>Table24a!L23*2000/2204.6225</f>
        <v>16.683128290671171</v>
      </c>
      <c r="M23" s="10">
        <f>Table24a!M23*2000/2204.6225</f>
        <v>11.990261371277938</v>
      </c>
      <c r="N23" s="10">
        <f>Table24a!N23*2000/2204.6225</f>
        <v>6.0418507023309926</v>
      </c>
      <c r="O23" s="10">
        <f>Table24a!O23*2000/2204.6225</f>
        <v>4.55860357045262</v>
      </c>
      <c r="P23" s="10">
        <f>Table24a!P23*2000/2204.6225</f>
        <v>13.261227262263665</v>
      </c>
      <c r="Q23" s="10">
        <f>Table24a!Q23*2000/2204.6225</f>
        <v>14.918653873849092</v>
      </c>
      <c r="R23" s="10">
        <f>Table24a!R23*2000/2204.6225</f>
        <v>10.731996067353869</v>
      </c>
      <c r="S23" s="10">
        <f>Table24a!S23*2000/2204.6225</f>
        <v>58.000859557588605</v>
      </c>
      <c r="T23" s="10">
        <f>Table24a!T23*2000/2204.6225</f>
        <v>82.744324708651959</v>
      </c>
      <c r="U23" s="10">
        <f>Table24a!U23*2000/2204.6225</f>
        <v>186.42466000415044</v>
      </c>
      <c r="V23" s="10">
        <f>Table24a!V23*2000/2204.6225</f>
        <v>192.19378700000016</v>
      </c>
      <c r="W23" s="10">
        <f>Table24a!W23*2000/2204.6225</f>
        <v>353.81930466553797</v>
      </c>
      <c r="X23" s="10">
        <f>Table24a!X23*2000/2204.6225</f>
        <v>412.5023671853117</v>
      </c>
      <c r="Y23" s="10">
        <f>Table24a!Y23*2000/2204.6225</f>
        <v>1116.4419358318339</v>
      </c>
      <c r="Z23" s="10">
        <f>Table24a!Z23*2000/2204.6225</f>
        <v>324.57303038430274</v>
      </c>
    </row>
    <row r="24" spans="1:27" x14ac:dyDescent="0.2">
      <c r="A24" s="36" t="s">
        <v>94</v>
      </c>
      <c r="B24" s="28" t="s">
        <v>84</v>
      </c>
      <c r="C24" s="28" t="s">
        <v>84</v>
      </c>
      <c r="D24" s="28" t="s">
        <v>84</v>
      </c>
      <c r="E24" s="28" t="s">
        <v>84</v>
      </c>
      <c r="F24" s="28" t="s">
        <v>84</v>
      </c>
      <c r="G24" s="28" t="s">
        <v>84</v>
      </c>
      <c r="H24" s="10">
        <f>Table24a!H24*2000/2204.6225</f>
        <v>5.4431087408388512</v>
      </c>
      <c r="I24" s="10">
        <f>Table24a!I24*2000/2204.6225</f>
        <v>6.3502935309786599</v>
      </c>
      <c r="J24" s="10">
        <f>Table24a!J24*2000/2204.6225</f>
        <v>1.8143695802796171</v>
      </c>
      <c r="K24" s="10">
        <f>Table24a!K24*2000/2204.6225</f>
        <v>190.5088059293598</v>
      </c>
      <c r="L24" s="10">
        <f>Table24a!L24*2000/2204.6225</f>
        <v>16.683128290671171</v>
      </c>
      <c r="M24" s="10">
        <f>Table24a!M24*2000/2204.6225</f>
        <v>11.990261371277938</v>
      </c>
      <c r="N24" s="10">
        <f>Table24a!N24*2000/2204.6225</f>
        <v>6.0418507023309926</v>
      </c>
      <c r="O24" s="10">
        <f>Table24a!O24*2000/2204.6225</f>
        <v>4.55860357045262</v>
      </c>
      <c r="P24" s="10">
        <f>Table24a!P24*2000/2204.6225</f>
        <v>13.261227262263665</v>
      </c>
      <c r="Q24" s="10">
        <f>Table24a!Q24*2000/2204.6225</f>
        <v>14.918653873849092</v>
      </c>
      <c r="R24" s="10">
        <f>Table24a!R24*2000/2204.6225</f>
        <v>10.731996067353869</v>
      </c>
      <c r="S24" s="10">
        <f>Table24a!S24*2000/2204.6225</f>
        <v>58.000859557588605</v>
      </c>
      <c r="T24" s="10">
        <f>Table24a!T24*2000/2204.6225</f>
        <v>82.744324708651959</v>
      </c>
      <c r="U24" s="10">
        <f>Table24a!U24*2000/2204.6225</f>
        <v>186.42466000415044</v>
      </c>
      <c r="V24" s="10">
        <f>Table24a!V24*2000/2204.6225</f>
        <v>192.19378700000021</v>
      </c>
      <c r="W24" s="10">
        <f>Table24a!W24*2000/2204.6225</f>
        <v>353.81930466553797</v>
      </c>
      <c r="X24" s="10">
        <f>Table24a!X24*2000/2204.6225</f>
        <v>412.50236718531175</v>
      </c>
      <c r="Y24" s="10">
        <f>Table24a!Y24*2000/2204.6225</f>
        <v>1066.869271269798</v>
      </c>
      <c r="Z24" s="10">
        <f>Table24a!Z24*2000/2204.6225</f>
        <v>275.00036582226659</v>
      </c>
    </row>
    <row r="25" spans="1:27" s="22" customFormat="1" x14ac:dyDescent="0.2">
      <c r="A25" s="36" t="s">
        <v>100</v>
      </c>
      <c r="B25" s="28" t="s">
        <v>84</v>
      </c>
      <c r="C25" s="28" t="s">
        <v>84</v>
      </c>
      <c r="D25" s="28" t="s">
        <v>84</v>
      </c>
      <c r="E25" s="28" t="s">
        <v>84</v>
      </c>
      <c r="F25" s="28" t="s">
        <v>84</v>
      </c>
      <c r="G25" s="28" t="s">
        <v>84</v>
      </c>
      <c r="H25" s="28" t="s">
        <v>84</v>
      </c>
      <c r="I25" s="28" t="s">
        <v>84</v>
      </c>
      <c r="J25" s="28" t="s">
        <v>84</v>
      </c>
      <c r="K25" s="28" t="s">
        <v>84</v>
      </c>
      <c r="L25" s="28" t="s">
        <v>84</v>
      </c>
      <c r="M25" s="28" t="s">
        <v>84</v>
      </c>
      <c r="N25" s="28" t="s">
        <v>84</v>
      </c>
      <c r="O25" s="28" t="s">
        <v>84</v>
      </c>
      <c r="P25" s="28" t="s">
        <v>84</v>
      </c>
      <c r="Q25" s="28" t="s">
        <v>84</v>
      </c>
      <c r="R25" s="28" t="s">
        <v>84</v>
      </c>
      <c r="S25" s="28" t="s">
        <v>84</v>
      </c>
      <c r="T25" s="28" t="s">
        <v>84</v>
      </c>
      <c r="U25" s="28" t="s">
        <v>84</v>
      </c>
      <c r="V25" s="28" t="s">
        <v>84</v>
      </c>
      <c r="W25" s="10">
        <f>Table24a!W25*2000/2204.6225</f>
        <v>226.07044970284028</v>
      </c>
      <c r="X25" s="10">
        <f>Table24a!X25*2000/2204.6225</f>
        <v>176.81212996782895</v>
      </c>
      <c r="Y25" s="10">
        <f>Table24a!Y25*2000/2204.6225</f>
        <v>804.25478738423476</v>
      </c>
      <c r="Z25" s="10">
        <f>Table24a!Z25*2000/2204.6225</f>
        <v>38.647330325259773</v>
      </c>
      <c r="AA25" s="27"/>
    </row>
    <row r="26" spans="1:27" s="22" customFormat="1" x14ac:dyDescent="0.2">
      <c r="A26" s="36" t="s">
        <v>101</v>
      </c>
      <c r="B26" s="28" t="s">
        <v>84</v>
      </c>
      <c r="C26" s="28" t="s">
        <v>84</v>
      </c>
      <c r="D26" s="28" t="s">
        <v>84</v>
      </c>
      <c r="E26" s="28" t="s">
        <v>84</v>
      </c>
      <c r="F26" s="28" t="s">
        <v>84</v>
      </c>
      <c r="G26" s="28" t="s">
        <v>84</v>
      </c>
      <c r="H26" s="28" t="s">
        <v>84</v>
      </c>
      <c r="I26" s="28" t="s">
        <v>84</v>
      </c>
      <c r="J26" s="28" t="s">
        <v>84</v>
      </c>
      <c r="K26" s="28" t="s">
        <v>84</v>
      </c>
      <c r="L26" s="28" t="s">
        <v>84</v>
      </c>
      <c r="M26" s="28" t="s">
        <v>84</v>
      </c>
      <c r="N26" s="28" t="s">
        <v>84</v>
      </c>
      <c r="O26" s="28" t="s">
        <v>84</v>
      </c>
      <c r="P26" s="28" t="s">
        <v>84</v>
      </c>
      <c r="Q26" s="28" t="s">
        <v>84</v>
      </c>
      <c r="R26" s="28" t="s">
        <v>84</v>
      </c>
      <c r="S26" s="28" t="s">
        <v>84</v>
      </c>
      <c r="T26" s="28" t="s">
        <v>84</v>
      </c>
      <c r="U26" s="28" t="s">
        <v>84</v>
      </c>
      <c r="V26" s="28" t="s">
        <v>84</v>
      </c>
      <c r="W26" s="10">
        <f>Table24a!W26*2000/2204.6225</f>
        <v>127.74885496269769</v>
      </c>
      <c r="X26" s="10">
        <f>Table24a!X26*2000/2204.6225</f>
        <v>235.6902372174828</v>
      </c>
      <c r="Y26" s="10">
        <f>Table24a!Y26*2000/2204.6225</f>
        <v>262.61448388556317</v>
      </c>
      <c r="Z26" s="10">
        <f>Table24a!Z26*2000/2204.6225</f>
        <v>236.35303549700686</v>
      </c>
      <c r="AA26" s="27"/>
    </row>
    <row r="27" spans="1:27" s="22" customFormat="1" x14ac:dyDescent="0.2">
      <c r="A27" s="36" t="s">
        <v>103</v>
      </c>
      <c r="B27" s="28" t="s">
        <v>84</v>
      </c>
      <c r="C27" s="28" t="s">
        <v>84</v>
      </c>
      <c r="D27" s="28" t="s">
        <v>84</v>
      </c>
      <c r="E27" s="28" t="s">
        <v>84</v>
      </c>
      <c r="F27" s="28" t="s">
        <v>84</v>
      </c>
      <c r="G27" s="28" t="s">
        <v>84</v>
      </c>
      <c r="H27" s="28" t="s">
        <v>84</v>
      </c>
      <c r="I27" s="28" t="s">
        <v>84</v>
      </c>
      <c r="J27" s="28" t="s">
        <v>84</v>
      </c>
      <c r="K27" s="28" t="s">
        <v>84</v>
      </c>
      <c r="L27" s="28" t="s">
        <v>84</v>
      </c>
      <c r="M27" s="28" t="s">
        <v>84</v>
      </c>
      <c r="N27" s="28" t="s">
        <v>84</v>
      </c>
      <c r="O27" s="28" t="s">
        <v>84</v>
      </c>
      <c r="P27" s="28" t="s">
        <v>84</v>
      </c>
      <c r="Q27" s="28" t="s">
        <v>84</v>
      </c>
      <c r="R27" s="28" t="s">
        <v>84</v>
      </c>
      <c r="S27" s="28" t="s">
        <v>84</v>
      </c>
      <c r="T27" s="28" t="s">
        <v>84</v>
      </c>
      <c r="U27" s="28" t="s">
        <v>84</v>
      </c>
      <c r="V27" s="28" t="s">
        <v>84</v>
      </c>
      <c r="W27" s="28" t="s">
        <v>84</v>
      </c>
      <c r="X27" s="28" t="s">
        <v>84</v>
      </c>
      <c r="Y27" s="10">
        <f>Table24a!Y27*2000/2204.6225</f>
        <v>49.572664562036096</v>
      </c>
      <c r="Z27" s="10">
        <f>Table24a!Z27*2000/2204.6225</f>
        <v>49.572664562036096</v>
      </c>
      <c r="AA27" s="27"/>
    </row>
    <row r="28" spans="1:27" x14ac:dyDescent="0.2">
      <c r="A28" s="22" t="s">
        <v>51</v>
      </c>
      <c r="B28" s="10">
        <f>Table24a!B28*2000/2204.6225</f>
        <v>11408.249711685334</v>
      </c>
      <c r="C28" s="10">
        <f>Table24a!C28*2000/2204.6225</f>
        <v>10536.942265625974</v>
      </c>
      <c r="D28" s="10">
        <f>Table24a!D28*2000/2204.6225</f>
        <v>10599.389237840038</v>
      </c>
      <c r="E28" s="10">
        <f>Table24a!E28*2000/2204.6225</f>
        <v>10949.40743823489</v>
      </c>
      <c r="F28" s="10">
        <f>Table24a!F28*2000/2204.6225</f>
        <v>10771.293498093211</v>
      </c>
      <c r="G28" s="10">
        <f>Table24a!G28*2000/2204.6225</f>
        <v>11043.95605143284</v>
      </c>
      <c r="H28" s="10">
        <f>Table24a!H28*2000/2204.6225</f>
        <v>11088.073354962131</v>
      </c>
      <c r="I28" s="10">
        <f>Table24a!I28*2000/2204.6225</f>
        <v>11404.360610490005</v>
      </c>
      <c r="J28" s="10">
        <f>Table24a!J28*2000/2204.6225</f>
        <v>11137.599294210233</v>
      </c>
      <c r="K28" s="10">
        <f>Table24a!K28*2000/2204.6225</f>
        <v>11627.073569284539</v>
      </c>
      <c r="L28" s="10">
        <f>Table24a!L28*2000/2204.6225</f>
        <v>11854.295236486065</v>
      </c>
      <c r="M28" s="10">
        <f>Table24a!M28*2000/2204.6225</f>
        <v>12245.316375025657</v>
      </c>
      <c r="N28" s="10">
        <f>Table24a!N28*2000/2204.6225</f>
        <v>12868.500616318666</v>
      </c>
      <c r="O28" s="10">
        <f>Table24a!O28*2000/2204.6225</f>
        <v>13028.913566835141</v>
      </c>
      <c r="P28" s="10">
        <f>Table24a!P28*2000/2204.6225</f>
        <v>12717.865303470324</v>
      </c>
      <c r="Q28" s="10">
        <f>Table24a!Q28*2000/2204.6225</f>
        <v>12832.073518255394</v>
      </c>
      <c r="R28" s="10">
        <f>Table24a!R28*2000/2204.6225</f>
        <v>12943.013146241597</v>
      </c>
      <c r="S28" s="10">
        <f>Table24a!S28*2000/2204.6225</f>
        <v>13104.694341094682</v>
      </c>
      <c r="T28" s="10">
        <f>Table24a!T28*2000/2204.6225</f>
        <v>12770.179928763318</v>
      </c>
      <c r="U28" s="10">
        <f>Table24a!U28*2000/2204.6225</f>
        <v>12788.168495967002</v>
      </c>
      <c r="V28" s="10">
        <f>Table24a!V28*2000/2204.6225</f>
        <v>12764.933110852502</v>
      </c>
      <c r="W28" s="10">
        <f>Table24a!W28*2000/2204.6225</f>
        <v>13160.371596272342</v>
      </c>
      <c r="X28" s="10">
        <f>Table24a!X28*2000/2204.6225</f>
        <v>13322.038580301163</v>
      </c>
      <c r="Y28" s="10">
        <f>Table24a!Y28*2000/2204.6225</f>
        <v>13585.916415022715</v>
      </c>
      <c r="Z28" s="10">
        <f>Table24a!Z28*2000/2204.6225</f>
        <v>12718.203059455233</v>
      </c>
    </row>
    <row r="29" spans="1:27" x14ac:dyDescent="0.2">
      <c r="A29" s="2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7" x14ac:dyDescent="0.2">
      <c r="A30" s="22" t="s">
        <v>52</v>
      </c>
      <c r="B30" s="10">
        <f>Table24a!B30*2000/2204.6225</f>
        <v>127.83050159381028</v>
      </c>
      <c r="C30" s="10">
        <f>Table24a!C30*2000/2204.6225</f>
        <v>124.62632491503648</v>
      </c>
      <c r="D30" s="10">
        <f>Table24a!D30*2000/2204.6225</f>
        <v>128.54354883886018</v>
      </c>
      <c r="E30" s="10">
        <f>Table24a!E30*2000/2204.6225</f>
        <v>261.26921956026484</v>
      </c>
      <c r="F30" s="10">
        <f>Table24a!F30*2000/2204.6225</f>
        <v>234.98807618991458</v>
      </c>
      <c r="G30" s="10">
        <f>Table24a!G30*2000/2204.6225</f>
        <v>184.15851239838113</v>
      </c>
      <c r="H30" s="10">
        <f>Table24a!H30*2000/2204.6225</f>
        <v>382.59702057835301</v>
      </c>
      <c r="I30" s="10">
        <f>Table24a!I30*2000/2204.6225</f>
        <v>184.4696767813991</v>
      </c>
      <c r="J30" s="10">
        <f>Table24a!J30*2000/2204.6225</f>
        <v>123.31816444765488</v>
      </c>
      <c r="K30" s="10">
        <f>Table24a!K30*2000/2204.6225</f>
        <v>191.24816153332372</v>
      </c>
      <c r="L30" s="10">
        <f>Table24a!L30*2000/2204.6225</f>
        <v>225.19320201077508</v>
      </c>
      <c r="M30" s="10">
        <f>Table24a!M30*2000/2204.6225</f>
        <v>244.40556149635597</v>
      </c>
      <c r="N30" s="10">
        <f>Table24a!N30*2000/2204.6225</f>
        <v>248.65935097732151</v>
      </c>
      <c r="O30" s="10">
        <f>Table24a!O30*2000/2204.6225</f>
        <v>277.80084799098262</v>
      </c>
      <c r="P30" s="10">
        <f>Table24a!P30*2000/2204.6225</f>
        <v>167.71669526188722</v>
      </c>
      <c r="Q30" s="10">
        <f>Table24a!Q30*2000/2204.6225</f>
        <v>66.736141901844874</v>
      </c>
      <c r="R30" s="10">
        <f>Table24a!R30*2000/2204.6225</f>
        <v>85.929450506832808</v>
      </c>
      <c r="S30" s="10">
        <f>Table24a!S30*2000/2204.6225</f>
        <v>154.16970479072947</v>
      </c>
      <c r="T30" s="10">
        <f>Table24a!T30*2000/2204.6225</f>
        <v>31.393129662788073</v>
      </c>
      <c r="U30" s="10">
        <f>Table24a!U30*2000/2204.6225</f>
        <v>55.35278715517056</v>
      </c>
      <c r="V30" s="10">
        <f>Table24a!V30*2000/2204.6225</f>
        <v>44.902018372759962</v>
      </c>
      <c r="W30" s="10">
        <f>Table24a!W30*2000/2204.6225</f>
        <v>26.254835011436199</v>
      </c>
      <c r="X30" s="10">
        <f>Table24a!X30*2000/2204.6225</f>
        <v>74.830044599472245</v>
      </c>
      <c r="Y30" s="10">
        <f>Table24a!Y30*2000/2204.6225</f>
        <v>226.09857243133462</v>
      </c>
      <c r="Z30" s="10">
        <f>Table24a!Z30*2000/2204.6225</f>
        <v>90.718479013980854</v>
      </c>
    </row>
    <row r="31" spans="1:27" x14ac:dyDescent="0.2">
      <c r="A31" s="22" t="s">
        <v>53</v>
      </c>
      <c r="B31" s="10">
        <f>Table24a!B31*2000/2204.6225</f>
        <v>127.83050159381028</v>
      </c>
      <c r="C31" s="10">
        <f>Table24a!C31*2000/2204.6225</f>
        <v>124.62632491503648</v>
      </c>
      <c r="D31" s="10">
        <f>Table24a!D31*2000/2204.6225</f>
        <v>128.54354883886018</v>
      </c>
      <c r="E31" s="10">
        <f>Table24a!E31*2000/2204.6225</f>
        <v>261.26921956026484</v>
      </c>
      <c r="F31" s="10">
        <f>Table24a!F31*2000/2204.6225</f>
        <v>234.98807618991458</v>
      </c>
      <c r="G31" s="10">
        <f>Table24a!G31*2000/2204.6225</f>
        <v>184.15851239838113</v>
      </c>
      <c r="H31" s="10">
        <f>Table24a!H31*2000/2204.6225</f>
        <v>382.59702057835301</v>
      </c>
      <c r="I31" s="10">
        <f>Table24a!I31*2000/2204.6225</f>
        <v>184.4696767813991</v>
      </c>
      <c r="J31" s="10">
        <f>Table24a!J31*2000/2204.6225</f>
        <v>123.31816444765488</v>
      </c>
      <c r="K31" s="10">
        <f>Table24a!K31*2000/2204.6225</f>
        <v>191.24816153332372</v>
      </c>
      <c r="L31" s="10">
        <f>Table24a!L31*2000/2204.6225</f>
        <v>225.19320201077508</v>
      </c>
      <c r="M31" s="10">
        <f>Table24a!M31*2000/2204.6225</f>
        <v>244.40556149635597</v>
      </c>
      <c r="N31" s="10">
        <f>Table24a!N31*2000/2204.6225</f>
        <v>248.65935097732151</v>
      </c>
      <c r="O31" s="10">
        <f>Table24a!O31*2000/2204.6225</f>
        <v>277.80084799098262</v>
      </c>
      <c r="P31" s="10">
        <f>Table24a!P31*2000/2204.6225</f>
        <v>167.71669526188722</v>
      </c>
      <c r="Q31" s="10">
        <f>Table24a!Q31*2000/2204.6225</f>
        <v>66.736141901844874</v>
      </c>
      <c r="R31" s="10">
        <f>Table24a!R31*2000/2204.6225</f>
        <v>85.929450506832808</v>
      </c>
      <c r="S31" s="10">
        <f>Table24a!S31*2000/2204.6225</f>
        <v>154.16970479072947</v>
      </c>
      <c r="T31" s="10">
        <f>Table24a!T31*2000/2204.6225</f>
        <v>31.393129662788073</v>
      </c>
      <c r="U31" s="10">
        <f>Table24a!U31*2000/2204.6225</f>
        <v>55.35278715517056</v>
      </c>
      <c r="V31" s="10">
        <f>Table24a!V31*2000/2204.6225</f>
        <v>44.902018372759962</v>
      </c>
      <c r="W31" s="10">
        <f>Table24a!W31*2000/2204.6225</f>
        <v>26.254835011436199</v>
      </c>
      <c r="X31" s="10">
        <f>Table24a!X31*2000/2204.6225</f>
        <v>74.830044599472245</v>
      </c>
      <c r="Y31" s="10">
        <f>Table24a!Y31*2000/2204.6225</f>
        <v>226.09857243133462</v>
      </c>
      <c r="Z31" s="10">
        <f>Table24a!Z31*2000/2204.6225</f>
        <v>179.29055881449091</v>
      </c>
    </row>
    <row r="32" spans="1:27" x14ac:dyDescent="0.2">
      <c r="A32" s="22" t="s">
        <v>54</v>
      </c>
      <c r="B32" s="10">
        <f>Table24a!B32*2000/2204.6225</f>
        <v>0</v>
      </c>
      <c r="C32" s="10">
        <f>Table24a!C32*2000/2204.6225</f>
        <v>0</v>
      </c>
      <c r="D32" s="10">
        <f>Table24a!D32*2000/2204.6225</f>
        <v>0</v>
      </c>
      <c r="E32" s="10">
        <f>Table24a!E32*2000/2204.6225</f>
        <v>0</v>
      </c>
      <c r="F32" s="10">
        <f>Table24a!F32*2000/2204.6225</f>
        <v>0</v>
      </c>
      <c r="G32" s="10">
        <f>Table24a!G32*2000/2204.6225</f>
        <v>0</v>
      </c>
      <c r="H32" s="10">
        <f>Table24a!H32*2000/2204.6225</f>
        <v>0</v>
      </c>
      <c r="I32" s="10">
        <f>Table24a!I32*2000/2204.6225</f>
        <v>0</v>
      </c>
      <c r="J32" s="10">
        <f>Table24a!J32*2000/2204.6225</f>
        <v>0</v>
      </c>
      <c r="K32" s="10">
        <f>Table24a!K32*2000/2204.6225</f>
        <v>0</v>
      </c>
      <c r="L32" s="10">
        <f>Table24a!L32*2000/2204.6225</f>
        <v>0</v>
      </c>
      <c r="M32" s="10">
        <f>Table24a!M32*2000/2204.6225</f>
        <v>0</v>
      </c>
      <c r="N32" s="10">
        <f>Table24a!N32*2000/2204.6225</f>
        <v>0</v>
      </c>
      <c r="O32" s="10">
        <f>Table24a!O32*2000/2204.6225</f>
        <v>0</v>
      </c>
      <c r="P32" s="10">
        <f>Table24a!P32*2000/2204.6225</f>
        <v>0</v>
      </c>
      <c r="Q32" s="10">
        <f>Table24a!Q32*2000/2204.6225</f>
        <v>0</v>
      </c>
      <c r="R32" s="10">
        <f>Table24a!R32*2000/2204.6225</f>
        <v>0</v>
      </c>
      <c r="S32" s="10">
        <f>Table24a!S32*2000/2204.6225</f>
        <v>0</v>
      </c>
      <c r="T32" s="10">
        <f>Table24a!T32*2000/2204.6225</f>
        <v>0</v>
      </c>
      <c r="U32" s="10">
        <f>Table24a!U32*2000/2204.6225</f>
        <v>0</v>
      </c>
      <c r="V32" s="10">
        <f>Table24a!V32*2000/2204.6225</f>
        <v>0</v>
      </c>
      <c r="W32" s="10">
        <f>Table24a!W32*2000/2204.6225</f>
        <v>0</v>
      </c>
      <c r="X32" s="10">
        <f>Table24a!X32*2000/2204.6225</f>
        <v>0</v>
      </c>
      <c r="Y32" s="10">
        <f>Table24a!Y32*2000/2204.6225</f>
        <v>0</v>
      </c>
      <c r="Z32" s="10">
        <f>Table24a!Z32*2000/2204.6225</f>
        <v>0</v>
      </c>
    </row>
    <row r="33" spans="1:26" x14ac:dyDescent="0.2">
      <c r="A33" s="22" t="s">
        <v>81</v>
      </c>
      <c r="B33" s="10">
        <f>Table24a!B33*2000/2204.6225</f>
        <v>0</v>
      </c>
      <c r="C33" s="10">
        <f>Table24a!C33*2000/2204.6225</f>
        <v>0</v>
      </c>
      <c r="D33" s="10">
        <f>Table24a!D33*2000/2204.6225</f>
        <v>0</v>
      </c>
      <c r="E33" s="10">
        <f>Table24a!E33*2000/2204.6225</f>
        <v>0</v>
      </c>
      <c r="F33" s="10">
        <f>Table24a!F33*2000/2204.6225</f>
        <v>0</v>
      </c>
      <c r="G33" s="10">
        <f>Table24a!G33*2000/2204.6225</f>
        <v>0</v>
      </c>
      <c r="H33" s="10">
        <f>Table24a!H33*2000/2204.6225</f>
        <v>0</v>
      </c>
      <c r="I33" s="10">
        <f>Table24a!I33*2000/2204.6225</f>
        <v>0</v>
      </c>
      <c r="J33" s="10">
        <f>Table24a!J33*2000/2204.6225</f>
        <v>0</v>
      </c>
      <c r="K33" s="10">
        <f>Table24a!K33*2000/2204.6225</f>
        <v>0</v>
      </c>
      <c r="L33" s="10">
        <f>Table24a!L33*2000/2204.6225</f>
        <v>0</v>
      </c>
      <c r="M33" s="10">
        <f>Table24a!M33*2000/2204.6225</f>
        <v>0</v>
      </c>
      <c r="N33" s="10">
        <f>Table24a!N33*2000/2204.6225</f>
        <v>0</v>
      </c>
      <c r="O33" s="10">
        <f>Table24a!O33*2000/2204.6225</f>
        <v>0</v>
      </c>
      <c r="P33" s="10">
        <f>Table24a!P33*2000/2204.6225</f>
        <v>0</v>
      </c>
      <c r="Q33" s="10">
        <f>Table24a!Q33*2000/2204.6225</f>
        <v>0</v>
      </c>
      <c r="R33" s="10">
        <f>Table24a!R33*2000/2204.6225</f>
        <v>0</v>
      </c>
      <c r="S33" s="10">
        <f>Table24a!S33*2000/2204.6225</f>
        <v>0</v>
      </c>
      <c r="T33" s="10">
        <f>Table24a!T33*2000/2204.6225</f>
        <v>0</v>
      </c>
      <c r="U33" s="10">
        <f>Table24a!U33*2000/2204.6225</f>
        <v>0</v>
      </c>
      <c r="V33" s="10">
        <f>Table24a!V33*2000/2204.6225</f>
        <v>0</v>
      </c>
      <c r="W33" s="10">
        <f>Table24a!W33*2000/2204.6225</f>
        <v>0</v>
      </c>
      <c r="X33" s="10">
        <f>Table24a!X33*2000/2204.6225</f>
        <v>0</v>
      </c>
      <c r="Y33" s="10">
        <f>Table24a!Y33*2000/2204.6225</f>
        <v>0</v>
      </c>
      <c r="Z33" s="10">
        <f>Table24a!Z33*2000/2204.6225</f>
        <v>0</v>
      </c>
    </row>
    <row r="34" spans="1:26" x14ac:dyDescent="0.2">
      <c r="A34" s="22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6" x14ac:dyDescent="0.2">
      <c r="A35" s="2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6" x14ac:dyDescent="0.2">
      <c r="A36" s="22" t="s">
        <v>55</v>
      </c>
      <c r="B36" s="10">
        <f>Table24a!B36*2000/2204.6225</f>
        <v>111.85316306986842</v>
      </c>
      <c r="C36" s="10">
        <f>Table24a!C36*2000/2204.6225</f>
        <v>-21.506629819846395</v>
      </c>
      <c r="D36" s="10">
        <f>Table24a!D36*2000/2204.6225</f>
        <v>145.94335311374169</v>
      </c>
      <c r="E36" s="10">
        <f>Table24a!E36*2000/2204.6225</f>
        <v>20.489675670097107</v>
      </c>
      <c r="F36" s="10">
        <f>Table24a!F36*2000/2204.6225</f>
        <v>85.407819252501341</v>
      </c>
      <c r="G36" s="10">
        <f>Table24a!G36*2000/2204.6225</f>
        <v>-61.193242834092047</v>
      </c>
      <c r="H36" s="10">
        <f>Table24a!H36*2000/2204.6225</f>
        <v>-120.09221533391681</v>
      </c>
      <c r="I36" s="10">
        <f>Table24a!I36*2000/2204.6225</f>
        <v>0</v>
      </c>
      <c r="J36" s="10">
        <f>Table24a!J36*2000/2204.6225</f>
        <v>0</v>
      </c>
      <c r="K36" s="10">
        <f>Table24a!K36*2000/2204.6225</f>
        <v>-40.509429618900121</v>
      </c>
      <c r="L36" s="10">
        <f>Table24a!L36*2000/2204.6225</f>
        <v>17.248304414927283</v>
      </c>
      <c r="M36" s="10">
        <f>Table24a!M36*2000/2204.6225</f>
        <v>-58.053476275417125</v>
      </c>
      <c r="N36" s="10">
        <f>Table24a!N36*2000/2204.6225</f>
        <v>-20.818076564128205</v>
      </c>
      <c r="O36" s="10">
        <f>Table24a!O36*2000/2204.6225</f>
        <v>0</v>
      </c>
      <c r="P36" s="10">
        <f>Table24a!P36*2000/2204.6225</f>
        <v>0</v>
      </c>
      <c r="Q36" s="10">
        <f>Table24a!Q36*2000/2204.6225</f>
        <v>-30.133049989285226</v>
      </c>
      <c r="R36" s="10">
        <f>Table24a!R36*2000/2204.6225</f>
        <v>34.66625238561474</v>
      </c>
      <c r="S36" s="10">
        <f>Table24a!S36*2000/2204.6225</f>
        <v>74.579661597394306</v>
      </c>
      <c r="T36" s="10">
        <f>Table24a!T36*2000/2204.6225</f>
        <v>25.786727659722779</v>
      </c>
      <c r="U36" s="10">
        <f>Table24a!U36*2000/2204.6225</f>
        <v>66.991968012663889</v>
      </c>
      <c r="V36" s="10">
        <f>Table24a!V36*2000/2204.6225</f>
        <v>36.428005248064011</v>
      </c>
      <c r="W36" s="10">
        <f>Table24a!W36*2000/2204.6225</f>
        <v>73.598994839252526</v>
      </c>
      <c r="X36" s="10">
        <f>Table24a!X36*2000/2204.6225</f>
        <v>155.16760805988326</v>
      </c>
      <c r="Y36" s="10">
        <f>Table24a!Y36*2000/2204.6225</f>
        <v>94.866586764124378</v>
      </c>
      <c r="Z36" s="10">
        <f>Table24a!Z36*2000/2204.6225</f>
        <v>0</v>
      </c>
    </row>
    <row r="37" spans="1:26" x14ac:dyDescent="0.2">
      <c r="A37" s="22" t="s">
        <v>56</v>
      </c>
      <c r="B37" s="10">
        <f>Table24a!B37*2000/2204.6225</f>
        <v>9.0718479013980851</v>
      </c>
      <c r="C37" s="10">
        <f>Table24a!C37*2000/2204.6225</f>
        <v>0</v>
      </c>
      <c r="D37" s="10">
        <f>Table24a!D37*2000/2204.6225</f>
        <v>0</v>
      </c>
      <c r="E37" s="10">
        <f>Table24a!E37*2000/2204.6225</f>
        <v>0</v>
      </c>
      <c r="F37" s="10">
        <f>Table24a!F37*2000/2204.6225</f>
        <v>0</v>
      </c>
      <c r="G37" s="10">
        <f>Table24a!G37*2000/2204.6225</f>
        <v>0</v>
      </c>
      <c r="H37" s="10">
        <f>Table24a!H37*2000/2204.6225</f>
        <v>0</v>
      </c>
      <c r="I37" s="10">
        <f>Table24a!I37*2000/2204.6225</f>
        <v>0</v>
      </c>
      <c r="J37" s="10">
        <f>Table24a!J37*2000/2204.6225</f>
        <v>0</v>
      </c>
      <c r="K37" s="10">
        <f>Table24a!K37*2000/2204.6225</f>
        <v>0</v>
      </c>
      <c r="L37" s="10">
        <f>Table24a!L37*2000/2204.6225</f>
        <v>0</v>
      </c>
      <c r="M37" s="10">
        <f>Table24a!M37*2000/2204.6225</f>
        <v>0</v>
      </c>
      <c r="N37" s="11" t="s">
        <v>57</v>
      </c>
      <c r="O37" s="10">
        <f>Table24a!O37*2000/2204.6225</f>
        <v>0</v>
      </c>
      <c r="P37" s="10">
        <f>Table24a!P37*2000/2204.6225</f>
        <v>0</v>
      </c>
      <c r="Q37" s="10">
        <f>Table24a!Q37*2000/2204.6225</f>
        <v>0</v>
      </c>
      <c r="R37" s="10">
        <f>Table24a!R37*2000/2204.6225</f>
        <v>0</v>
      </c>
      <c r="S37" s="10">
        <f>Table24a!S37*2000/2204.6225</f>
        <v>0</v>
      </c>
      <c r="T37" s="10">
        <f>Table24a!T37*2000/2204.6225</f>
        <v>0</v>
      </c>
      <c r="U37" s="10">
        <f>Table24a!U37*2000/2204.6225</f>
        <v>0</v>
      </c>
      <c r="V37" s="10">
        <f>Table24a!V37*2000/2204.6225</f>
        <v>0</v>
      </c>
      <c r="W37" s="10">
        <f>Table24a!W37*2000/2204.6225</f>
        <v>0</v>
      </c>
      <c r="X37" s="10">
        <f>Table24a!X37*2000/2204.6225</f>
        <v>0</v>
      </c>
      <c r="Y37" s="10">
        <f>Table24a!Y37*2000/2204.6225</f>
        <v>0</v>
      </c>
      <c r="Z37" s="10">
        <f>Table24a!Z37*2000/2204.6225</f>
        <v>0</v>
      </c>
    </row>
    <row r="38" spans="1:26" x14ac:dyDescent="0.2">
      <c r="A38" s="22" t="s">
        <v>58</v>
      </c>
      <c r="B38" s="10">
        <f>Table24a!B38*2000/2204.6225</f>
        <v>0</v>
      </c>
      <c r="C38" s="10">
        <f>Table24a!C38*2000/2204.6225</f>
        <v>0</v>
      </c>
      <c r="D38" s="10">
        <f>Table24a!D38*2000/2204.6225</f>
        <v>0</v>
      </c>
      <c r="E38" s="10">
        <f>Table24a!E38*2000/2204.6225</f>
        <v>0</v>
      </c>
      <c r="F38" s="10">
        <f>Table24a!F38*2000/2204.6225</f>
        <v>0</v>
      </c>
      <c r="G38" s="10">
        <f>Table24a!G38*2000/2204.6225</f>
        <v>0</v>
      </c>
      <c r="H38" s="10">
        <f>Table24a!H38*2000/2204.6225</f>
        <v>0</v>
      </c>
      <c r="I38" s="10">
        <f>Table24a!I38*2000/2204.6225</f>
        <v>0</v>
      </c>
      <c r="J38" s="10">
        <f>Table24a!J38*2000/2204.6225</f>
        <v>0</v>
      </c>
      <c r="K38" s="10">
        <f>Table24a!K38*2000/2204.6225</f>
        <v>0</v>
      </c>
      <c r="L38" s="10">
        <f>Table24a!L38*2000/2204.6225</f>
        <v>0</v>
      </c>
      <c r="M38" s="10">
        <f>Table24a!M38*2000/2204.6225</f>
        <v>0</v>
      </c>
      <c r="N38" s="10">
        <f>Table24a!N38*2000/2204.6225</f>
        <v>0</v>
      </c>
      <c r="O38" s="10">
        <f>Table24a!O38*2000/2204.6225</f>
        <v>0</v>
      </c>
      <c r="P38" s="10">
        <f>Table24a!P38*2000/2204.6225</f>
        <v>0</v>
      </c>
      <c r="Q38" s="10">
        <f>Table24a!Q38*2000/2204.6225</f>
        <v>0</v>
      </c>
      <c r="R38" s="10">
        <f>Table24a!R38*2000/2204.6225</f>
        <v>0</v>
      </c>
      <c r="S38" s="10">
        <f>Table24a!S38*2000/2204.6225</f>
        <v>0</v>
      </c>
      <c r="T38" s="10">
        <f>Table24a!T38*2000/2204.6225</f>
        <v>0</v>
      </c>
      <c r="U38" s="10">
        <f>Table24a!U38*2000/2204.6225</f>
        <v>0</v>
      </c>
      <c r="V38" s="10">
        <f>Table24a!V38*2000/2204.6225</f>
        <v>0</v>
      </c>
      <c r="W38" s="10">
        <f>Table24a!W38*2000/2204.6225</f>
        <v>0</v>
      </c>
      <c r="X38" s="10">
        <f>Table24a!X38*2000/2204.6225</f>
        <v>0</v>
      </c>
      <c r="Y38" s="10">
        <f>Table24a!Y38*2000/2204.6225</f>
        <v>0</v>
      </c>
      <c r="Z38" s="10">
        <f>Table24a!Z38*2000/2204.6225</f>
        <v>0</v>
      </c>
    </row>
    <row r="39" spans="1:26" x14ac:dyDescent="0.2">
      <c r="A39" s="22" t="s">
        <v>59</v>
      </c>
      <c r="B39" s="10">
        <f>Table24a!B39*2000/2204.6225</f>
        <v>102.78131516847033</v>
      </c>
      <c r="C39" s="10">
        <f>Table24a!C39*2000/2204.6225</f>
        <v>-21.506629819846395</v>
      </c>
      <c r="D39" s="10">
        <f>Table24a!D39*2000/2204.6225</f>
        <v>145.94335311374169</v>
      </c>
      <c r="E39" s="10">
        <f>Table24a!E39*2000/2204.6225</f>
        <v>20.489675670097107</v>
      </c>
      <c r="F39" s="10">
        <f>Table24a!F39*2000/2204.6225</f>
        <v>85.407819252501341</v>
      </c>
      <c r="G39" s="10">
        <f>Table24a!G39*2000/2204.6225</f>
        <v>-61.193242834092047</v>
      </c>
      <c r="H39" s="10">
        <f>Table24a!H39*2000/2204.6225</f>
        <v>-120.09221533391681</v>
      </c>
      <c r="I39" s="10">
        <f>Table24a!I39*2000/2204.6225</f>
        <v>0</v>
      </c>
      <c r="J39" s="10">
        <f>Table24a!J39*2000/2204.6225</f>
        <v>0</v>
      </c>
      <c r="K39" s="10">
        <f>Table24a!K39*2000/2204.6225</f>
        <v>-40.509429618900121</v>
      </c>
      <c r="L39" s="10">
        <f>Table24a!L39*2000/2204.6225</f>
        <v>17.248304414927283</v>
      </c>
      <c r="M39" s="10">
        <f>Table24a!M39*2000/2204.6225</f>
        <v>-58.053476275417125</v>
      </c>
      <c r="N39" s="10">
        <f>Table24a!N39*2000/2204.6225</f>
        <v>-20.818076564128205</v>
      </c>
      <c r="O39" s="10">
        <f>Table24a!O39*2000/2204.6225</f>
        <v>0</v>
      </c>
      <c r="P39" s="10">
        <f>Table24a!P39*2000/2204.6225</f>
        <v>0</v>
      </c>
      <c r="Q39" s="10">
        <f>Table24a!Q39*2000/2204.6225</f>
        <v>-30.133049989285226</v>
      </c>
      <c r="R39" s="10">
        <f>Table24a!R39*2000/2204.6225</f>
        <v>34.66625238561474</v>
      </c>
      <c r="S39" s="10">
        <f>Table24a!S39*2000/2204.6225</f>
        <v>74.579661597394306</v>
      </c>
      <c r="T39" s="10">
        <f>Table24a!T39*2000/2204.6225</f>
        <v>25.786727659722779</v>
      </c>
      <c r="U39" s="10">
        <f>Table24a!U39*2000/2204.6225</f>
        <v>66.991968012663889</v>
      </c>
      <c r="V39" s="10">
        <f>Table24a!V39*2000/2204.6225</f>
        <v>36.428005248064011</v>
      </c>
      <c r="W39" s="10">
        <f>Table24a!W39*2000/2204.6225</f>
        <v>73.598994839252526</v>
      </c>
      <c r="X39" s="10">
        <f>Table24a!X39*2000/2204.6225</f>
        <v>155.16760805988326</v>
      </c>
      <c r="Y39" s="10">
        <f>Table24a!Y39*2000/2204.6225</f>
        <v>94.866586764124378</v>
      </c>
      <c r="Z39" s="10">
        <f>Table24a!Z39*2000/2204.6225</f>
        <v>0</v>
      </c>
    </row>
    <row r="40" spans="1:26" x14ac:dyDescent="0.2">
      <c r="A40" s="2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6" x14ac:dyDescent="0.2">
      <c r="A41" s="26" t="s">
        <v>60</v>
      </c>
      <c r="B41" s="10">
        <f>Table24a!B41*2000/2204.6225</f>
        <v>9191.1953180192977</v>
      </c>
      <c r="C41" s="10">
        <f>Table24a!C41*2000/2204.6225</f>
        <v>9047.8419774814065</v>
      </c>
      <c r="D41" s="10">
        <f>Table24a!D41*2000/2204.6225</f>
        <v>8809.9037363539574</v>
      </c>
      <c r="E41" s="10">
        <f>Table24a!E41*2000/2204.6225</f>
        <v>8946.4196251285648</v>
      </c>
      <c r="F41" s="10">
        <f>Table24a!F41*2000/2204.6225</f>
        <v>9242.8467912306987</v>
      </c>
      <c r="G41" s="10">
        <f>Table24a!G41*2000/2204.6225</f>
        <v>9380.6889841684915</v>
      </c>
      <c r="H41" s="10">
        <f>Table24a!H41*2000/2204.6225</f>
        <v>9193.9967046512484</v>
      </c>
      <c r="I41" s="10">
        <f>Table24a!I41*2000/2204.6225</f>
        <v>9710.1794071320601</v>
      </c>
      <c r="J41" s="10">
        <f>Table24a!J41*2000/2204.6225</f>
        <v>9622.5671288395188</v>
      </c>
      <c r="K41" s="10">
        <f>Table24a!K41*2000/2204.6225</f>
        <v>10117.235944022161</v>
      </c>
      <c r="L41" s="10">
        <f>Table24a!L41*2000/2204.6225</f>
        <v>10361.741295845435</v>
      </c>
      <c r="M41" s="10">
        <f>Table24a!M41*2000/2204.6225</f>
        <v>10263.390671192006</v>
      </c>
      <c r="N41" s="10">
        <f>Table24a!N41*2000/2204.6225</f>
        <v>10682.556310660895</v>
      </c>
      <c r="O41" s="10">
        <f>Table24a!O41*2000/2204.6225</f>
        <v>11109.33958081259</v>
      </c>
      <c r="P41" s="10">
        <f>Table24a!P41*2000/2204.6225</f>
        <v>10903.39411849421</v>
      </c>
      <c r="Q41" s="10">
        <f>Table24a!Q41*2000/2204.6225</f>
        <v>10932.20721461384</v>
      </c>
      <c r="R41" s="10">
        <f>Table24a!R41*2000/2204.6225</f>
        <v>11120.57778599284</v>
      </c>
      <c r="S41" s="10">
        <f>Table24a!S41*2000/2204.6225</f>
        <v>11054.437664498117</v>
      </c>
      <c r="T41" s="10">
        <f>Table24a!T41*2000/2204.6225</f>
        <v>11095.929575244741</v>
      </c>
      <c r="U41" s="10">
        <f>Table24a!U41*2000/2204.6225</f>
        <v>11198.371603301699</v>
      </c>
      <c r="V41" s="10">
        <f>Table24a!V41*2000/2204.6225</f>
        <v>11137.914994517203</v>
      </c>
      <c r="W41" s="10">
        <f>Table24a!W41*2000/2204.6225</f>
        <v>11410.1665931469</v>
      </c>
      <c r="X41" s="10">
        <f>Table24a!X41*2000/2204.6225</f>
        <v>11420.54841588526</v>
      </c>
      <c r="Y41" s="10">
        <f>Table24a!Y41*2000/2204.6225</f>
        <v>11303.539440985745</v>
      </c>
      <c r="Z41" s="10">
        <f>Table24a!Z41*2000/2204.6225</f>
        <v>11298.986561191316</v>
      </c>
    </row>
    <row r="42" spans="1:26" x14ac:dyDescent="0.2">
      <c r="A42" s="22" t="s">
        <v>61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">
      <c r="A43" s="22" t="s">
        <v>62</v>
      </c>
      <c r="B43" s="10">
        <f>Table24a!B43*2000/2204.6225</f>
        <v>89.290570154300795</v>
      </c>
      <c r="C43" s="10">
        <f>Table24a!C43*2000/2204.6225</f>
        <v>141.11985158456832</v>
      </c>
      <c r="D43" s="10">
        <f>Table24a!D43*2000/2204.6225</f>
        <v>165.87964606185412</v>
      </c>
      <c r="E43" s="10">
        <f>Table24a!E43*2000/2204.6225</f>
        <v>128.8202401998528</v>
      </c>
      <c r="F43" s="10">
        <f>Table24a!F43*2000/2204.6225</f>
        <v>109.65596150814936</v>
      </c>
      <c r="G43" s="10">
        <f>Table24a!G43*2000/2204.6225</f>
        <v>95.786013251701817</v>
      </c>
      <c r="H43" s="10">
        <f>Table24a!H43*2000/2204.6225</f>
        <v>152.93139755218866</v>
      </c>
      <c r="I43" s="10">
        <f>Table24a!I43*2000/2204.6225</f>
        <v>127.99560922561572</v>
      </c>
      <c r="J43" s="10">
        <f>Table24a!J43*2000/2204.6225</f>
        <v>109.19511163475833</v>
      </c>
      <c r="K43" s="10">
        <f>Table24a!K43*2000/2204.6225</f>
        <v>182.5600527981548</v>
      </c>
      <c r="L43" s="10">
        <f>Table24a!L43*2000/2204.6225</f>
        <v>178.00054204291212</v>
      </c>
      <c r="M43" s="10">
        <f>Table24a!M43*2000/2204.6225</f>
        <v>127.07572384841396</v>
      </c>
      <c r="N43" s="10">
        <f>Table24a!N43*2000/2204.6225</f>
        <v>72.535774265208673</v>
      </c>
      <c r="O43" s="10">
        <f>Table24a!O43*2000/2204.6225</f>
        <v>74.020835766667531</v>
      </c>
      <c r="P43" s="10">
        <f>Table24a!P43*2000/2204.6225</f>
        <v>93.036336152788053</v>
      </c>
      <c r="Q43" s="10">
        <f>Table24a!Q43*2000/2204.6225</f>
        <v>134.12636403738057</v>
      </c>
      <c r="R43" s="10">
        <f>Table24a!R43*2000/2204.6225</f>
        <v>115.16348036908813</v>
      </c>
      <c r="S43" s="10">
        <f>Table24a!S43*2000/2204.6225</f>
        <v>99.550830130782032</v>
      </c>
      <c r="T43" s="10">
        <f>Table24a!T43*2000/2204.6225</f>
        <v>89.253375577905061</v>
      </c>
      <c r="U43" s="10">
        <f>Table24a!U43*2000/2204.6225</f>
        <v>70.512752183196895</v>
      </c>
      <c r="V43" s="10">
        <f>Table24a!V43*2000/2204.6225</f>
        <v>80.770290605307707</v>
      </c>
      <c r="W43" s="10">
        <f>Table24a!W43*2000/2204.6225</f>
        <v>72.761663277953488</v>
      </c>
      <c r="X43" s="10">
        <f>Table24a!X43*2000/2204.6225</f>
        <v>85.02589445585356</v>
      </c>
      <c r="Y43" s="10">
        <f>Table24a!Y43*2000/2204.6225</f>
        <v>75.310852538246351</v>
      </c>
      <c r="Z43" s="10">
        <f>Table24a!Z43*2000/2204.6225</f>
        <v>72.57478321118468</v>
      </c>
    </row>
    <row r="44" spans="1:26" x14ac:dyDescent="0.2">
      <c r="A44" s="22" t="s">
        <v>63</v>
      </c>
      <c r="B44" s="10">
        <f>Table24a!B44*2000/2204.6225</f>
        <v>30.278199555706252</v>
      </c>
      <c r="C44" s="10">
        <f>Table24a!C44*2000/2204.6225</f>
        <v>29.595089408730971</v>
      </c>
      <c r="D44" s="10">
        <f>Table24a!D44*2000/2204.6225</f>
        <v>22.139844803362024</v>
      </c>
      <c r="E44" s="10">
        <f>Table24a!E44*2000/2204.6225</f>
        <v>37.552914387837369</v>
      </c>
      <c r="F44" s="10">
        <f>Table24a!F44*2000/2204.6225</f>
        <v>43.964896484545541</v>
      </c>
      <c r="G44" s="10">
        <f>Table24a!G44*2000/2204.6225</f>
        <v>46.13306813297968</v>
      </c>
      <c r="H44" s="10">
        <f>Table24a!H44*2000/2204.6225</f>
        <v>47.813174364318606</v>
      </c>
      <c r="I44" s="10">
        <f>Table24a!I44*2000/2204.6225</f>
        <v>55.555996548161872</v>
      </c>
      <c r="J44" s="10">
        <f>Table24a!J44*2000/2204.6225</f>
        <v>41.707820726677689</v>
      </c>
      <c r="K44" s="10">
        <f>Table24a!K44*2000/2204.6225</f>
        <v>31.297875259823396</v>
      </c>
      <c r="L44" s="10">
        <f>Table24a!L44*2000/2204.6225</f>
        <v>29.837307747698304</v>
      </c>
      <c r="M44" s="10">
        <f>Table24a!M44*2000/2204.6225</f>
        <v>29.55880201712538</v>
      </c>
      <c r="N44" s="10">
        <f>Table24a!N44*2000/2204.6225</f>
        <v>167.62688396766339</v>
      </c>
      <c r="O44" s="10">
        <f>Table24a!O44*2000/2204.6225</f>
        <v>313.47770423281077</v>
      </c>
      <c r="P44" s="10">
        <f>Table24a!P44*2000/2204.6225</f>
        <v>25.35672206919779</v>
      </c>
      <c r="Q44" s="10">
        <f>Table24a!Q44*2000/2204.6225</f>
        <v>20.066927557892566</v>
      </c>
      <c r="R44" s="10">
        <f>Table24a!R44*2000/2204.6225</f>
        <v>26.637666992875197</v>
      </c>
      <c r="S44" s="10">
        <f>Table24a!S44*2000/2204.6225</f>
        <v>25.133554610823396</v>
      </c>
      <c r="T44" s="10">
        <f>Table24a!T44*2000/2204.6225</f>
        <v>24.611923356493008</v>
      </c>
      <c r="U44" s="10">
        <f>Table24a!U44*2000/2204.6225</f>
        <v>18.473911066407062</v>
      </c>
      <c r="V44" s="10">
        <f>Table24a!V44*2000/2204.6225</f>
        <v>24.754351368544956</v>
      </c>
      <c r="W44" s="10">
        <f>Table24a!W44*2000/2204.6225</f>
        <v>24.670890367852092</v>
      </c>
      <c r="X44" s="10">
        <f>Table24a!X44*2000/2204.6225</f>
        <v>19.867346904061808</v>
      </c>
      <c r="Y44" s="10">
        <f>Table24a!Y44*2000/2204.6225</f>
        <v>21.285276731050324</v>
      </c>
      <c r="Z44" s="10">
        <f>Table24a!Z44*2000/2204.6225</f>
        <v>22.679619753495214</v>
      </c>
    </row>
    <row r="45" spans="1:26" x14ac:dyDescent="0.2">
      <c r="A45" s="26" t="s">
        <v>96</v>
      </c>
      <c r="B45" s="10">
        <f>Table24a!B45*2000/2204.6225</f>
        <v>9071.626548309292</v>
      </c>
      <c r="C45" s="10">
        <f>Table24a!C45*2000/2204.6225</f>
        <v>8877.1270364881057</v>
      </c>
      <c r="D45" s="10">
        <f>Table24a!D45*2000/2204.6225</f>
        <v>8621.8842454887399</v>
      </c>
      <c r="E45" s="10">
        <f>Table24a!E45*2000/2204.6225</f>
        <v>8780.0464705408758</v>
      </c>
      <c r="F45" s="10">
        <f>Table24a!F45*2000/2204.6225</f>
        <v>9089.2259332380036</v>
      </c>
      <c r="G45" s="10">
        <f>Table24a!G45*2000/2204.6225</f>
        <v>9238.7699027838098</v>
      </c>
      <c r="H45" s="10">
        <f>Table24a!H45*2000/2204.6225</f>
        <v>8993.2521327347422</v>
      </c>
      <c r="I45" s="10">
        <f>Table24a!I45*2000/2204.6225</f>
        <v>9526.6278013582833</v>
      </c>
      <c r="J45" s="10">
        <f>Table24a!J45*2000/2204.6225</f>
        <v>9471.6641964780829</v>
      </c>
      <c r="K45" s="10">
        <f>Table24a!K45*2000/2204.6225</f>
        <v>9903.3780159641847</v>
      </c>
      <c r="L45" s="10">
        <f>Table24a!L45*2000/2204.6225</f>
        <v>10153.903446054825</v>
      </c>
      <c r="M45" s="10">
        <f>Table24a!M45*2000/2204.6225</f>
        <v>10106.756145326468</v>
      </c>
      <c r="N45" s="10">
        <f>Table24a!N45*2000/2204.6225</f>
        <v>10442.393652428023</v>
      </c>
      <c r="O45" s="10">
        <f>Table24a!O45*2000/2204.6225</f>
        <v>10721.841040813111</v>
      </c>
      <c r="P45" s="10">
        <f>Table24a!P45*2000/2204.6225</f>
        <v>10785.001060272223</v>
      </c>
      <c r="Q45" s="10">
        <f>Table24a!Q45*2000/2204.6225</f>
        <v>10778.013923018567</v>
      </c>
      <c r="R45" s="10">
        <f>Table24a!R45*2000/2204.6225</f>
        <v>10978.776638630878</v>
      </c>
      <c r="S45" s="10">
        <f>Table24a!S45*2000/2204.6225</f>
        <v>10929.753279756513</v>
      </c>
      <c r="T45" s="10">
        <f>Table24a!T45*2000/2204.6225</f>
        <v>10982.064276310344</v>
      </c>
      <c r="U45" s="10">
        <f>Table24a!U45*2000/2204.6225</f>
        <v>11109.384940052096</v>
      </c>
      <c r="V45" s="10">
        <f>Table24a!V45*2000/2204.6225</f>
        <v>11032.390352543349</v>
      </c>
      <c r="W45" s="10">
        <f>Table24a!W45*2000/2204.6225</f>
        <v>11312.734039501094</v>
      </c>
      <c r="X45" s="10">
        <f>Table24a!X45*2000/2204.6225</f>
        <v>11315.655174525344</v>
      </c>
      <c r="Y45" s="10">
        <f>Table24a!Y45*2000/2204.6225</f>
        <v>11206.94331171645</v>
      </c>
      <c r="Z45" s="10">
        <f>Table24a!Z45*2000/2204.6225</f>
        <v>11203.732158226636</v>
      </c>
    </row>
    <row r="46" spans="1:26" x14ac:dyDescent="0.2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x14ac:dyDescent="0.2">
      <c r="A47" s="5" t="s">
        <v>27</v>
      </c>
      <c r="B47" s="10">
        <f>Table24a!B47*2000/2204.6225</f>
        <v>9430.8789826829761</v>
      </c>
      <c r="C47" s="10">
        <f>Table24a!C47*2000/2204.6225</f>
        <v>9150.9616725765954</v>
      </c>
      <c r="D47" s="10">
        <f>Table24a!D47*2000/2204.6225</f>
        <v>9084.3906383065587</v>
      </c>
      <c r="E47" s="10">
        <f>Table24a!E47*2000/2204.6225</f>
        <v>9228.1785203589261</v>
      </c>
      <c r="F47" s="10">
        <f>Table24a!F47*2000/2204.6225</f>
        <v>9563.2426866731148</v>
      </c>
      <c r="G47" s="10">
        <f>Table24a!G47*2000/2204.6225</f>
        <v>9503.6542537327805</v>
      </c>
      <c r="H47" s="10">
        <f>Table24a!H47*2000/2204.6225</f>
        <v>9456.5015098956846</v>
      </c>
      <c r="I47" s="10">
        <f>Table24a!I47*2000/2204.6225</f>
        <v>9894.6490839134585</v>
      </c>
      <c r="J47" s="10">
        <f>Table24a!J47*2000/2204.6225</f>
        <v>9745.8852932871723</v>
      </c>
      <c r="K47" s="10">
        <f>Table24a!K47*2000/2204.6225</f>
        <v>10267.974675936584</v>
      </c>
      <c r="L47" s="10">
        <f>Table24a!L47*2000/2204.6225</f>
        <v>10604.182802271138</v>
      </c>
      <c r="M47" s="10">
        <f>Table24a!M47*2000/2204.6225</f>
        <v>10449.742756412945</v>
      </c>
      <c r="N47" s="10">
        <f>Table24a!N47*2000/2204.6225</f>
        <v>10910.397585074088</v>
      </c>
      <c r="O47" s="10">
        <f>Table24a!O47*2000/2204.6225</f>
        <v>11387.140428803572</v>
      </c>
      <c r="P47" s="10">
        <f>Table24a!P47*2000/2204.6225</f>
        <v>11071.110813756097</v>
      </c>
      <c r="Q47" s="10">
        <f>Table24a!Q47*2000/2204.6225</f>
        <v>10968.810306526399</v>
      </c>
      <c r="R47" s="10">
        <f>Table24a!R47*2000/2204.6225</f>
        <v>11241.173488885286</v>
      </c>
      <c r="S47" s="10">
        <f>Table24a!S47*2000/2204.6225</f>
        <v>11283.18703088624</v>
      </c>
      <c r="T47" s="10">
        <f>Table24a!T47*2000/2204.6225</f>
        <v>11153.109432567253</v>
      </c>
      <c r="U47" s="10">
        <f>Table24a!U47*2000/2204.6225</f>
        <v>11320.716358469534</v>
      </c>
      <c r="V47" s="10">
        <f>Table24a!V47*2000/2204.6225</f>
        <v>11219.245018138026</v>
      </c>
      <c r="W47" s="10">
        <f>Table24a!W47*2000/2204.6225</f>
        <v>11510.02042299759</v>
      </c>
      <c r="X47" s="10">
        <f>Table24a!X47*2000/2204.6225</f>
        <v>11650.546068544614</v>
      </c>
      <c r="Y47" s="10">
        <f>Table24a!Y47*2000/2204.6225</f>
        <v>11624.504600181204</v>
      </c>
      <c r="Z47" s="10">
        <f>Table24a!Z47*2000/2204.6225</f>
        <v>11389.705040205296</v>
      </c>
    </row>
    <row r="48" spans="1:26" x14ac:dyDescent="0.2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x14ac:dyDescent="0.2">
      <c r="A49" s="5" t="s">
        <v>64</v>
      </c>
      <c r="B49" s="10">
        <f>Table24a!B49*2000/2204.6225</f>
        <v>1977.3707290023576</v>
      </c>
      <c r="C49" s="10">
        <f>Table24a!C49*2000/2204.6225</f>
        <v>1385.9805930493767</v>
      </c>
      <c r="D49" s="10">
        <f>Table24a!D49*2000/2204.6225</f>
        <v>1514.9985995334803</v>
      </c>
      <c r="E49" s="10">
        <f>Table24a!E49*2000/2204.6225</f>
        <v>1721.2289178759629</v>
      </c>
      <c r="F49" s="10">
        <f>Table24a!F49*2000/2204.6225</f>
        <v>1208.0508114200957</v>
      </c>
      <c r="G49" s="10">
        <f>Table24a!G49*2000/2204.6225</f>
        <v>1540.3017977000598</v>
      </c>
      <c r="H49" s="10">
        <f>Table24a!H49*2000/2204.6225</f>
        <v>1631.5718450664456</v>
      </c>
      <c r="I49" s="10">
        <f>Table24a!I49*2000/2204.6225</f>
        <v>1509.7115265765456</v>
      </c>
      <c r="J49" s="10">
        <f>Table24a!J49*2000/2204.6225</f>
        <v>1391.7140009230607</v>
      </c>
      <c r="K49" s="10">
        <f>Table24a!K49*2000/2204.6225</f>
        <v>1359.0988933479541</v>
      </c>
      <c r="L49" s="10">
        <f>Table24a!L49*2000/2204.6225</f>
        <v>1250.112434214928</v>
      </c>
      <c r="M49" s="10">
        <f>Table24a!M49*2000/2204.6225</f>
        <v>1795.5736186127103</v>
      </c>
      <c r="N49" s="10">
        <f>Table24a!N49*2000/2204.6225</f>
        <v>1958.1030312445782</v>
      </c>
      <c r="O49" s="10">
        <f>Table24a!O49*2000/2204.6225</f>
        <v>1641.773138031567</v>
      </c>
      <c r="P49" s="10">
        <f>Table24a!P49*2000/2204.6225</f>
        <v>1646.7544897142277</v>
      </c>
      <c r="Q49" s="10">
        <f>Table24a!Q49*2000/2204.6225</f>
        <v>1863.2632117289961</v>
      </c>
      <c r="R49" s="10">
        <f>Table24a!R49*2000/2204.6225</f>
        <v>1701.83965735631</v>
      </c>
      <c r="S49" s="10">
        <f>Table24a!S49*2000/2204.6225</f>
        <v>1821.5073102084407</v>
      </c>
      <c r="T49" s="10">
        <f>Table24a!T49*2000/2204.6225</f>
        <v>1617.0704961960653</v>
      </c>
      <c r="U49" s="10">
        <f>Table24a!U49*2000/2204.6225</f>
        <v>1467.4521374974677</v>
      </c>
      <c r="V49" s="10">
        <f>Table24a!V49*2000/2204.6225</f>
        <v>1545.6880927144759</v>
      </c>
      <c r="W49" s="10">
        <f>Table24a!W49*2000/2204.6225</f>
        <v>1651.2577550124795</v>
      </c>
      <c r="X49" s="10">
        <f>Table24a!X49*2000/2204.6225</f>
        <v>1671.4925117565474</v>
      </c>
      <c r="Y49" s="10">
        <f>Table24a!Y49*2000/2204.6225</f>
        <v>1961.4118148415105</v>
      </c>
      <c r="Z49" s="10">
        <f>Table24a!Z49*2000/2204.6225</f>
        <v>1328.498019249937</v>
      </c>
    </row>
    <row r="50" spans="1:26" x14ac:dyDescent="0.2">
      <c r="A50" s="9" t="s">
        <v>65</v>
      </c>
      <c r="B50" s="10">
        <f>Table24a!B50*2000/2204.6225</f>
        <v>1265.9101501504226</v>
      </c>
      <c r="C50" s="10">
        <f>Table24a!C50*2000/2204.6225</f>
        <v>1193.7145701815161</v>
      </c>
      <c r="D50" s="10">
        <f>Table24a!D50*2000/2204.6225</f>
        <v>1514.9985995334803</v>
      </c>
      <c r="E50" s="10">
        <f>Table24a!E50*2000/2204.6225</f>
        <v>1721.2289178759629</v>
      </c>
      <c r="F50" s="10">
        <f>Table24a!F50*2000/2204.6225</f>
        <v>1208.0508114200957</v>
      </c>
      <c r="G50" s="10">
        <f>Table24a!G50*2000/2204.6225</f>
        <v>1540.3017977000598</v>
      </c>
      <c r="H50" s="10">
        <f>Table24a!H50*2000/2204.6225</f>
        <v>1631.5718450664456</v>
      </c>
      <c r="I50" s="10">
        <f>Table24a!I50*2000/2204.6225</f>
        <v>1509.7115265765456</v>
      </c>
      <c r="J50" s="10">
        <f>Table24a!J50*2000/2204.6225</f>
        <v>1391.7140009230607</v>
      </c>
      <c r="K50" s="10">
        <f>Table24a!K50*2000/2204.6225</f>
        <v>1359.0988933479541</v>
      </c>
      <c r="L50" s="10">
        <f>Table24a!L50*2000/2204.6225</f>
        <v>1250.112434214928</v>
      </c>
      <c r="M50" s="10">
        <f>Table24a!M50*2000/2204.6225</f>
        <v>1795.5736186127103</v>
      </c>
      <c r="N50" s="10">
        <f>Table24a!N50*2000/2204.6225</f>
        <v>1671.3010957658282</v>
      </c>
      <c r="O50" s="10">
        <f>Table24a!O50*2000/2204.6225</f>
        <v>1641.773138031567</v>
      </c>
      <c r="P50" s="10">
        <f>Table24a!P50*2000/2204.6225</f>
        <v>1646.7544897142277</v>
      </c>
      <c r="Q50" s="10">
        <f>Table24a!Q50*2000/2204.6225</f>
        <v>1863.2632117289961</v>
      </c>
      <c r="R50" s="10">
        <f>Table24a!R50*2000/2204.6225</f>
        <v>1701.83965735631</v>
      </c>
      <c r="S50" s="10">
        <f>Table24a!S50*2000/2204.6225</f>
        <v>1821.5073102084407</v>
      </c>
      <c r="T50" s="10">
        <f>Table24a!T50*2000/2204.6225</f>
        <v>1617.0704961960653</v>
      </c>
      <c r="U50" s="10">
        <f>Table24a!U50*2000/2204.6225</f>
        <v>1467.4521374974677</v>
      </c>
      <c r="V50" s="10">
        <f>Table24a!V50*2000/2204.6225</f>
        <v>1545.6880927144759</v>
      </c>
      <c r="W50" s="10">
        <f>Table24a!W50*2000/2204.6225</f>
        <v>1651.2577550124795</v>
      </c>
      <c r="X50" s="10">
        <f>Table24a!X50*2000/2204.6225</f>
        <v>1671.4925117565474</v>
      </c>
      <c r="Y50" s="10">
        <f>Table24a!Y50*2000/2204.6225</f>
        <v>1961.4118148415105</v>
      </c>
      <c r="Z50" s="10">
        <f>Table24a!Z50*2000/2204.6225</f>
        <v>1328.498019249937</v>
      </c>
    </row>
    <row r="51" spans="1:26" x14ac:dyDescent="0.2">
      <c r="A51" s="9" t="s">
        <v>66</v>
      </c>
      <c r="B51" s="10">
        <f>Table24a!B51*2000/2204.6225</f>
        <v>711.460578851935</v>
      </c>
      <c r="C51" s="10">
        <f>Table24a!C51*2000/2204.6225</f>
        <v>192.26602286786061</v>
      </c>
      <c r="D51" s="10">
        <f>Table24a!D51*2000/2204.6225</f>
        <v>0</v>
      </c>
      <c r="E51" s="10">
        <f>Table24a!E51*2000/2204.6225</f>
        <v>0</v>
      </c>
      <c r="F51" s="10">
        <f>Table24a!F51*2000/2204.6225</f>
        <v>0</v>
      </c>
      <c r="G51" s="10">
        <f>Table24a!G51*2000/2204.6225</f>
        <v>0</v>
      </c>
      <c r="H51" s="10">
        <f>Table24a!H51*2000/2204.6225</f>
        <v>0</v>
      </c>
      <c r="I51" s="10">
        <f>Table24a!I51*2000/2204.6225</f>
        <v>0</v>
      </c>
      <c r="J51" s="10">
        <f>Table24a!J51*2000/2204.6225</f>
        <v>0</v>
      </c>
      <c r="K51" s="10">
        <f>Table24a!K51*2000/2204.6225</f>
        <v>0</v>
      </c>
      <c r="L51" s="10">
        <f>Table24a!L51*2000/2204.6225</f>
        <v>0</v>
      </c>
      <c r="M51" s="10">
        <f>Table24a!M51*2000/2204.6225</f>
        <v>0</v>
      </c>
      <c r="N51" s="10">
        <f>Table24a!N51*2000/2204.6225</f>
        <v>286.80193547874978</v>
      </c>
      <c r="O51" s="10">
        <f>Table24a!O51*2000/2204.6225</f>
        <v>0</v>
      </c>
      <c r="P51" s="10">
        <f>Table24a!P51*2000/2204.6225</f>
        <v>0</v>
      </c>
      <c r="Q51" s="10">
        <f>Table24a!Q51*2000/2204.6225</f>
        <v>0</v>
      </c>
      <c r="R51" s="10">
        <f>Table24a!R51*2000/2204.6225</f>
        <v>0</v>
      </c>
      <c r="S51" s="10">
        <f>Table24a!S51*2000/2204.6225</f>
        <v>0</v>
      </c>
      <c r="T51" s="10">
        <f>Table24a!T51*2000/2204.6225</f>
        <v>0</v>
      </c>
      <c r="U51" s="10">
        <f>Table24a!U51*2000/2204.6225</f>
        <v>0</v>
      </c>
      <c r="V51" s="10">
        <f>Table24a!V51*2000/2204.6225</f>
        <v>0</v>
      </c>
      <c r="W51" s="10">
        <f>Table24a!W51*2000/2204.6225</f>
        <v>0</v>
      </c>
      <c r="X51" s="10">
        <f>Table24a!X51*2000/2204.6225</f>
        <v>0</v>
      </c>
      <c r="Y51" s="10">
        <f>Table24a!Y51*2000/2204.6225</f>
        <v>0</v>
      </c>
      <c r="Z51" s="10">
        <f>Table24a!Z51*2000/2204.6225</f>
        <v>0</v>
      </c>
    </row>
    <row r="52" spans="1:26" x14ac:dyDescent="0.2">
      <c r="B52" s="11"/>
      <c r="C52" s="10"/>
      <c r="D52" s="11"/>
      <c r="E52" s="11"/>
      <c r="F52" s="11"/>
      <c r="G52" s="11"/>
      <c r="H52" s="11"/>
    </row>
    <row r="53" spans="1:26" x14ac:dyDescent="0.2">
      <c r="B53" s="12"/>
      <c r="C53" s="10"/>
      <c r="D53" s="11"/>
      <c r="E53" s="11"/>
      <c r="F53" s="11"/>
      <c r="G53" s="11"/>
      <c r="H53" s="11"/>
    </row>
    <row r="54" spans="1:26" s="4" customFormat="1" ht="12.75" customHeight="1" x14ac:dyDescent="0.2">
      <c r="A54" s="4" t="s">
        <v>67</v>
      </c>
      <c r="B54" s="13">
        <f t="shared" ref="B54:V54" si="0">100*B49/B47</f>
        <v>20.966982320876081</v>
      </c>
      <c r="C54" s="13">
        <f t="shared" si="0"/>
        <v>15.145737056279597</v>
      </c>
      <c r="D54" s="13">
        <f t="shared" si="0"/>
        <v>16.676942459355693</v>
      </c>
      <c r="E54" s="13">
        <f t="shared" si="0"/>
        <v>18.651881452863531</v>
      </c>
      <c r="F54" s="13">
        <f t="shared" si="0"/>
        <v>12.632229997713836</v>
      </c>
      <c r="G54" s="13">
        <f t="shared" si="0"/>
        <v>16.207468796490261</v>
      </c>
      <c r="H54" s="13">
        <f t="shared" si="0"/>
        <v>17.253440327367361</v>
      </c>
      <c r="I54" s="13">
        <f t="shared" si="0"/>
        <v>15.257858199650629</v>
      </c>
      <c r="J54" s="13">
        <f t="shared" si="0"/>
        <v>14.280016222658126</v>
      </c>
      <c r="K54" s="13">
        <f t="shared" si="0"/>
        <v>13.236289884246185</v>
      </c>
      <c r="L54" s="13">
        <f t="shared" si="0"/>
        <v>11.788861598530598</v>
      </c>
      <c r="M54" s="13">
        <f t="shared" si="0"/>
        <v>17.182945652042751</v>
      </c>
      <c r="N54" s="13">
        <f t="shared" si="0"/>
        <v>17.947128103959756</v>
      </c>
      <c r="O54" s="13">
        <f t="shared" si="0"/>
        <v>14.417782482762139</v>
      </c>
      <c r="P54" s="13">
        <f t="shared" si="0"/>
        <v>14.874338423820122</v>
      </c>
      <c r="Q54" s="13">
        <f t="shared" si="0"/>
        <v>16.986921641085925</v>
      </c>
      <c r="R54" s="13">
        <f t="shared" si="0"/>
        <v>15.139341626912925</v>
      </c>
      <c r="S54" s="13">
        <f t="shared" si="0"/>
        <v>16.143553281730632</v>
      </c>
      <c r="T54" s="13">
        <f t="shared" si="0"/>
        <v>14.498831074625649</v>
      </c>
      <c r="U54" s="13">
        <f t="shared" si="0"/>
        <v>12.962537802650635</v>
      </c>
      <c r="V54" s="13">
        <f t="shared" si="0"/>
        <v>13.777113256868706</v>
      </c>
      <c r="W54" s="13">
        <f>100*W49/W47</f>
        <v>14.346262598398045</v>
      </c>
      <c r="X54" s="13">
        <f>100*X49/X47</f>
        <v>14.346902728185599</v>
      </c>
      <c r="Y54" s="13">
        <f>100*Y49/Y47</f>
        <v>16.873078744456222</v>
      </c>
      <c r="Z54" s="13">
        <f>100*Z49/Z47</f>
        <v>11.664024788705074</v>
      </c>
    </row>
    <row r="55" spans="1:26" s="22" customFormat="1" x14ac:dyDescent="0.2">
      <c r="A55" s="31" t="s">
        <v>95</v>
      </c>
    </row>
    <row r="56" spans="1:26" x14ac:dyDescent="0.2">
      <c r="A56" s="31" t="s">
        <v>104</v>
      </c>
      <c r="B56" s="10"/>
      <c r="C56" s="10"/>
      <c r="D56" s="11"/>
      <c r="E56" s="11"/>
      <c r="F56" s="11"/>
      <c r="G56" s="11"/>
      <c r="H56" s="11"/>
    </row>
    <row r="57" spans="1:26" x14ac:dyDescent="0.2">
      <c r="A57" s="31" t="s">
        <v>97</v>
      </c>
      <c r="C57" s="10"/>
      <c r="D57" s="10"/>
      <c r="E57" s="10"/>
      <c r="F57" s="10"/>
      <c r="G57" s="10"/>
      <c r="H57" s="10"/>
    </row>
    <row r="58" spans="1:26" x14ac:dyDescent="0.2">
      <c r="A58" s="31" t="s">
        <v>98</v>
      </c>
      <c r="C58" s="10"/>
      <c r="D58" s="10"/>
      <c r="E58" s="10"/>
      <c r="F58" s="10"/>
      <c r="G58" s="10"/>
      <c r="H58" s="10"/>
    </row>
    <row r="59" spans="1:26" ht="12" customHeight="1" x14ac:dyDescent="0.2">
      <c r="A59" s="22" t="s">
        <v>106</v>
      </c>
    </row>
    <row r="60" spans="1:26" x14ac:dyDescent="0.2">
      <c r="A60" s="22" t="s">
        <v>80</v>
      </c>
    </row>
    <row r="61" spans="1:26" x14ac:dyDescent="0.2">
      <c r="A61" s="9"/>
    </row>
    <row r="62" spans="1:26" x14ac:dyDescent="0.2">
      <c r="A62" s="9"/>
    </row>
    <row r="63" spans="1:26" x14ac:dyDescent="0.2">
      <c r="A63" s="14"/>
    </row>
    <row r="64" spans="1:26" x14ac:dyDescent="0.2">
      <c r="A64" s="9"/>
    </row>
    <row r="65" spans="1:1" x14ac:dyDescent="0.2">
      <c r="A65" s="14"/>
    </row>
    <row r="66" spans="1:1" x14ac:dyDescent="0.2">
      <c r="A66" s="9"/>
    </row>
    <row r="67" spans="1:1" x14ac:dyDescent="0.2">
      <c r="A67" s="9"/>
    </row>
    <row r="68" spans="1:1" x14ac:dyDescent="0.2">
      <c r="A68" s="9"/>
    </row>
  </sheetData>
  <mergeCells count="1">
    <mergeCell ref="B5:X5"/>
  </mergeCells>
  <pageMargins left="0.75" right="0.75" top="1" bottom="1" header="0.5" footer="0.5"/>
  <pageSetup scale="5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3C869-9784-4511-9DB4-69C3A21B510D}">
  <sheetPr>
    <pageSetUpPr fitToPage="1"/>
  </sheetPr>
  <dimension ref="A1:AE4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1.25" x14ac:dyDescent="0.2"/>
  <cols>
    <col min="1" max="1" width="40.42578125" style="5" customWidth="1"/>
    <col min="2" max="11" width="9.140625" style="5" customWidth="1"/>
    <col min="12" max="27" width="8.7109375" style="5" customWidth="1"/>
    <col min="28" max="31" width="9.5703125" style="5" bestFit="1" customWidth="1"/>
    <col min="32" max="32" width="12.42578125" style="5" bestFit="1" customWidth="1"/>
    <col min="33" max="256" width="9.140625" style="5"/>
    <col min="257" max="257" width="26" style="5" customWidth="1"/>
    <col min="258" max="267" width="0" style="5" hidden="1" customWidth="1"/>
    <col min="268" max="283" width="8.7109375" style="5" customWidth="1"/>
    <col min="284" max="284" width="9.5703125" style="5" bestFit="1" customWidth="1"/>
    <col min="285" max="286" width="8.7109375" style="5" customWidth="1"/>
    <col min="287" max="288" width="12.42578125" style="5" bestFit="1" customWidth="1"/>
    <col min="289" max="512" width="9.140625" style="5"/>
    <col min="513" max="513" width="26" style="5" customWidth="1"/>
    <col min="514" max="523" width="0" style="5" hidden="1" customWidth="1"/>
    <col min="524" max="539" width="8.7109375" style="5" customWidth="1"/>
    <col min="540" max="540" width="9.5703125" style="5" bestFit="1" customWidth="1"/>
    <col min="541" max="542" width="8.7109375" style="5" customWidth="1"/>
    <col min="543" max="544" width="12.42578125" style="5" bestFit="1" customWidth="1"/>
    <col min="545" max="768" width="9.140625" style="5"/>
    <col min="769" max="769" width="26" style="5" customWidth="1"/>
    <col min="770" max="779" width="0" style="5" hidden="1" customWidth="1"/>
    <col min="780" max="795" width="8.7109375" style="5" customWidth="1"/>
    <col min="796" max="796" width="9.5703125" style="5" bestFit="1" customWidth="1"/>
    <col min="797" max="798" width="8.7109375" style="5" customWidth="1"/>
    <col min="799" max="800" width="12.42578125" style="5" bestFit="1" customWidth="1"/>
    <col min="801" max="1024" width="9.140625" style="5"/>
    <col min="1025" max="1025" width="26" style="5" customWidth="1"/>
    <col min="1026" max="1035" width="0" style="5" hidden="1" customWidth="1"/>
    <col min="1036" max="1051" width="8.7109375" style="5" customWidth="1"/>
    <col min="1052" max="1052" width="9.5703125" style="5" bestFit="1" customWidth="1"/>
    <col min="1053" max="1054" width="8.7109375" style="5" customWidth="1"/>
    <col min="1055" max="1056" width="12.42578125" style="5" bestFit="1" customWidth="1"/>
    <col min="1057" max="1280" width="9.140625" style="5"/>
    <col min="1281" max="1281" width="26" style="5" customWidth="1"/>
    <col min="1282" max="1291" width="0" style="5" hidden="1" customWidth="1"/>
    <col min="1292" max="1307" width="8.7109375" style="5" customWidth="1"/>
    <col min="1308" max="1308" width="9.5703125" style="5" bestFit="1" customWidth="1"/>
    <col min="1309" max="1310" width="8.7109375" style="5" customWidth="1"/>
    <col min="1311" max="1312" width="12.42578125" style="5" bestFit="1" customWidth="1"/>
    <col min="1313" max="1536" width="9.140625" style="5"/>
    <col min="1537" max="1537" width="26" style="5" customWidth="1"/>
    <col min="1538" max="1547" width="0" style="5" hidden="1" customWidth="1"/>
    <col min="1548" max="1563" width="8.7109375" style="5" customWidth="1"/>
    <col min="1564" max="1564" width="9.5703125" style="5" bestFit="1" customWidth="1"/>
    <col min="1565" max="1566" width="8.7109375" style="5" customWidth="1"/>
    <col min="1567" max="1568" width="12.42578125" style="5" bestFit="1" customWidth="1"/>
    <col min="1569" max="1792" width="9.140625" style="5"/>
    <col min="1793" max="1793" width="26" style="5" customWidth="1"/>
    <col min="1794" max="1803" width="0" style="5" hidden="1" customWidth="1"/>
    <col min="1804" max="1819" width="8.7109375" style="5" customWidth="1"/>
    <col min="1820" max="1820" width="9.5703125" style="5" bestFit="1" customWidth="1"/>
    <col min="1821" max="1822" width="8.7109375" style="5" customWidth="1"/>
    <col min="1823" max="1824" width="12.42578125" style="5" bestFit="1" customWidth="1"/>
    <col min="1825" max="2048" width="9.140625" style="5"/>
    <col min="2049" max="2049" width="26" style="5" customWidth="1"/>
    <col min="2050" max="2059" width="0" style="5" hidden="1" customWidth="1"/>
    <col min="2060" max="2075" width="8.7109375" style="5" customWidth="1"/>
    <col min="2076" max="2076" width="9.5703125" style="5" bestFit="1" customWidth="1"/>
    <col min="2077" max="2078" width="8.7109375" style="5" customWidth="1"/>
    <col min="2079" max="2080" width="12.42578125" style="5" bestFit="1" customWidth="1"/>
    <col min="2081" max="2304" width="9.140625" style="5"/>
    <col min="2305" max="2305" width="26" style="5" customWidth="1"/>
    <col min="2306" max="2315" width="0" style="5" hidden="1" customWidth="1"/>
    <col min="2316" max="2331" width="8.7109375" style="5" customWidth="1"/>
    <col min="2332" max="2332" width="9.5703125" style="5" bestFit="1" customWidth="1"/>
    <col min="2333" max="2334" width="8.7109375" style="5" customWidth="1"/>
    <col min="2335" max="2336" width="12.42578125" style="5" bestFit="1" customWidth="1"/>
    <col min="2337" max="2560" width="9.140625" style="5"/>
    <col min="2561" max="2561" width="26" style="5" customWidth="1"/>
    <col min="2562" max="2571" width="0" style="5" hidden="1" customWidth="1"/>
    <col min="2572" max="2587" width="8.7109375" style="5" customWidth="1"/>
    <col min="2588" max="2588" width="9.5703125" style="5" bestFit="1" customWidth="1"/>
    <col min="2589" max="2590" width="8.7109375" style="5" customWidth="1"/>
    <col min="2591" max="2592" width="12.42578125" style="5" bestFit="1" customWidth="1"/>
    <col min="2593" max="2816" width="9.140625" style="5"/>
    <col min="2817" max="2817" width="26" style="5" customWidth="1"/>
    <col min="2818" max="2827" width="0" style="5" hidden="1" customWidth="1"/>
    <col min="2828" max="2843" width="8.7109375" style="5" customWidth="1"/>
    <col min="2844" max="2844" width="9.5703125" style="5" bestFit="1" customWidth="1"/>
    <col min="2845" max="2846" width="8.7109375" style="5" customWidth="1"/>
    <col min="2847" max="2848" width="12.42578125" style="5" bestFit="1" customWidth="1"/>
    <col min="2849" max="3072" width="9.140625" style="5"/>
    <col min="3073" max="3073" width="26" style="5" customWidth="1"/>
    <col min="3074" max="3083" width="0" style="5" hidden="1" customWidth="1"/>
    <col min="3084" max="3099" width="8.7109375" style="5" customWidth="1"/>
    <col min="3100" max="3100" width="9.5703125" style="5" bestFit="1" customWidth="1"/>
    <col min="3101" max="3102" width="8.7109375" style="5" customWidth="1"/>
    <col min="3103" max="3104" width="12.42578125" style="5" bestFit="1" customWidth="1"/>
    <col min="3105" max="3328" width="9.140625" style="5"/>
    <col min="3329" max="3329" width="26" style="5" customWidth="1"/>
    <col min="3330" max="3339" width="0" style="5" hidden="1" customWidth="1"/>
    <col min="3340" max="3355" width="8.7109375" style="5" customWidth="1"/>
    <col min="3356" max="3356" width="9.5703125" style="5" bestFit="1" customWidth="1"/>
    <col min="3357" max="3358" width="8.7109375" style="5" customWidth="1"/>
    <col min="3359" max="3360" width="12.42578125" style="5" bestFit="1" customWidth="1"/>
    <col min="3361" max="3584" width="9.140625" style="5"/>
    <col min="3585" max="3585" width="26" style="5" customWidth="1"/>
    <col min="3586" max="3595" width="0" style="5" hidden="1" customWidth="1"/>
    <col min="3596" max="3611" width="8.7109375" style="5" customWidth="1"/>
    <col min="3612" max="3612" width="9.5703125" style="5" bestFit="1" customWidth="1"/>
    <col min="3613" max="3614" width="8.7109375" style="5" customWidth="1"/>
    <col min="3615" max="3616" width="12.42578125" style="5" bestFit="1" customWidth="1"/>
    <col min="3617" max="3840" width="9.140625" style="5"/>
    <col min="3841" max="3841" width="26" style="5" customWidth="1"/>
    <col min="3842" max="3851" width="0" style="5" hidden="1" customWidth="1"/>
    <col min="3852" max="3867" width="8.7109375" style="5" customWidth="1"/>
    <col min="3868" max="3868" width="9.5703125" style="5" bestFit="1" customWidth="1"/>
    <col min="3869" max="3870" width="8.7109375" style="5" customWidth="1"/>
    <col min="3871" max="3872" width="12.42578125" style="5" bestFit="1" customWidth="1"/>
    <col min="3873" max="4096" width="9.140625" style="5"/>
    <col min="4097" max="4097" width="26" style="5" customWidth="1"/>
    <col min="4098" max="4107" width="0" style="5" hidden="1" customWidth="1"/>
    <col min="4108" max="4123" width="8.7109375" style="5" customWidth="1"/>
    <col min="4124" max="4124" width="9.5703125" style="5" bestFit="1" customWidth="1"/>
    <col min="4125" max="4126" width="8.7109375" style="5" customWidth="1"/>
    <col min="4127" max="4128" width="12.42578125" style="5" bestFit="1" customWidth="1"/>
    <col min="4129" max="4352" width="9.140625" style="5"/>
    <col min="4353" max="4353" width="26" style="5" customWidth="1"/>
    <col min="4354" max="4363" width="0" style="5" hidden="1" customWidth="1"/>
    <col min="4364" max="4379" width="8.7109375" style="5" customWidth="1"/>
    <col min="4380" max="4380" width="9.5703125" style="5" bestFit="1" customWidth="1"/>
    <col min="4381" max="4382" width="8.7109375" style="5" customWidth="1"/>
    <col min="4383" max="4384" width="12.42578125" style="5" bestFit="1" customWidth="1"/>
    <col min="4385" max="4608" width="9.140625" style="5"/>
    <col min="4609" max="4609" width="26" style="5" customWidth="1"/>
    <col min="4610" max="4619" width="0" style="5" hidden="1" customWidth="1"/>
    <col min="4620" max="4635" width="8.7109375" style="5" customWidth="1"/>
    <col min="4636" max="4636" width="9.5703125" style="5" bestFit="1" customWidth="1"/>
    <col min="4637" max="4638" width="8.7109375" style="5" customWidth="1"/>
    <col min="4639" max="4640" width="12.42578125" style="5" bestFit="1" customWidth="1"/>
    <col min="4641" max="4864" width="9.140625" style="5"/>
    <col min="4865" max="4865" width="26" style="5" customWidth="1"/>
    <col min="4866" max="4875" width="0" style="5" hidden="1" customWidth="1"/>
    <col min="4876" max="4891" width="8.7109375" style="5" customWidth="1"/>
    <col min="4892" max="4892" width="9.5703125" style="5" bestFit="1" customWidth="1"/>
    <col min="4893" max="4894" width="8.7109375" style="5" customWidth="1"/>
    <col min="4895" max="4896" width="12.42578125" style="5" bestFit="1" customWidth="1"/>
    <col min="4897" max="5120" width="9.140625" style="5"/>
    <col min="5121" max="5121" width="26" style="5" customWidth="1"/>
    <col min="5122" max="5131" width="0" style="5" hidden="1" customWidth="1"/>
    <col min="5132" max="5147" width="8.7109375" style="5" customWidth="1"/>
    <col min="5148" max="5148" width="9.5703125" style="5" bestFit="1" customWidth="1"/>
    <col min="5149" max="5150" width="8.7109375" style="5" customWidth="1"/>
    <col min="5151" max="5152" width="12.42578125" style="5" bestFit="1" customWidth="1"/>
    <col min="5153" max="5376" width="9.140625" style="5"/>
    <col min="5377" max="5377" width="26" style="5" customWidth="1"/>
    <col min="5378" max="5387" width="0" style="5" hidden="1" customWidth="1"/>
    <col min="5388" max="5403" width="8.7109375" style="5" customWidth="1"/>
    <col min="5404" max="5404" width="9.5703125" style="5" bestFit="1" customWidth="1"/>
    <col min="5405" max="5406" width="8.7109375" style="5" customWidth="1"/>
    <col min="5407" max="5408" width="12.42578125" style="5" bestFit="1" customWidth="1"/>
    <col min="5409" max="5632" width="9.140625" style="5"/>
    <col min="5633" max="5633" width="26" style="5" customWidth="1"/>
    <col min="5634" max="5643" width="0" style="5" hidden="1" customWidth="1"/>
    <col min="5644" max="5659" width="8.7109375" style="5" customWidth="1"/>
    <col min="5660" max="5660" width="9.5703125" style="5" bestFit="1" customWidth="1"/>
    <col min="5661" max="5662" width="8.7109375" style="5" customWidth="1"/>
    <col min="5663" max="5664" width="12.42578125" style="5" bestFit="1" customWidth="1"/>
    <col min="5665" max="5888" width="9.140625" style="5"/>
    <col min="5889" max="5889" width="26" style="5" customWidth="1"/>
    <col min="5890" max="5899" width="0" style="5" hidden="1" customWidth="1"/>
    <col min="5900" max="5915" width="8.7109375" style="5" customWidth="1"/>
    <col min="5916" max="5916" width="9.5703125" style="5" bestFit="1" customWidth="1"/>
    <col min="5917" max="5918" width="8.7109375" style="5" customWidth="1"/>
    <col min="5919" max="5920" width="12.42578125" style="5" bestFit="1" customWidth="1"/>
    <col min="5921" max="6144" width="9.140625" style="5"/>
    <col min="6145" max="6145" width="26" style="5" customWidth="1"/>
    <col min="6146" max="6155" width="0" style="5" hidden="1" customWidth="1"/>
    <col min="6156" max="6171" width="8.7109375" style="5" customWidth="1"/>
    <col min="6172" max="6172" width="9.5703125" style="5" bestFit="1" customWidth="1"/>
    <col min="6173" max="6174" width="8.7109375" style="5" customWidth="1"/>
    <col min="6175" max="6176" width="12.42578125" style="5" bestFit="1" customWidth="1"/>
    <col min="6177" max="6400" width="9.140625" style="5"/>
    <col min="6401" max="6401" width="26" style="5" customWidth="1"/>
    <col min="6402" max="6411" width="0" style="5" hidden="1" customWidth="1"/>
    <col min="6412" max="6427" width="8.7109375" style="5" customWidth="1"/>
    <col min="6428" max="6428" width="9.5703125" style="5" bestFit="1" customWidth="1"/>
    <col min="6429" max="6430" width="8.7109375" style="5" customWidth="1"/>
    <col min="6431" max="6432" width="12.42578125" style="5" bestFit="1" customWidth="1"/>
    <col min="6433" max="6656" width="9.140625" style="5"/>
    <col min="6657" max="6657" width="26" style="5" customWidth="1"/>
    <col min="6658" max="6667" width="0" style="5" hidden="1" customWidth="1"/>
    <col min="6668" max="6683" width="8.7109375" style="5" customWidth="1"/>
    <col min="6684" max="6684" width="9.5703125" style="5" bestFit="1" customWidth="1"/>
    <col min="6685" max="6686" width="8.7109375" style="5" customWidth="1"/>
    <col min="6687" max="6688" width="12.42578125" style="5" bestFit="1" customWidth="1"/>
    <col min="6689" max="6912" width="9.140625" style="5"/>
    <col min="6913" max="6913" width="26" style="5" customWidth="1"/>
    <col min="6914" max="6923" width="0" style="5" hidden="1" customWidth="1"/>
    <col min="6924" max="6939" width="8.7109375" style="5" customWidth="1"/>
    <col min="6940" max="6940" width="9.5703125" style="5" bestFit="1" customWidth="1"/>
    <col min="6941" max="6942" width="8.7109375" style="5" customWidth="1"/>
    <col min="6943" max="6944" width="12.42578125" style="5" bestFit="1" customWidth="1"/>
    <col min="6945" max="7168" width="9.140625" style="5"/>
    <col min="7169" max="7169" width="26" style="5" customWidth="1"/>
    <col min="7170" max="7179" width="0" style="5" hidden="1" customWidth="1"/>
    <col min="7180" max="7195" width="8.7109375" style="5" customWidth="1"/>
    <col min="7196" max="7196" width="9.5703125" style="5" bestFit="1" customWidth="1"/>
    <col min="7197" max="7198" width="8.7109375" style="5" customWidth="1"/>
    <col min="7199" max="7200" width="12.42578125" style="5" bestFit="1" customWidth="1"/>
    <col min="7201" max="7424" width="9.140625" style="5"/>
    <col min="7425" max="7425" width="26" style="5" customWidth="1"/>
    <col min="7426" max="7435" width="0" style="5" hidden="1" customWidth="1"/>
    <col min="7436" max="7451" width="8.7109375" style="5" customWidth="1"/>
    <col min="7452" max="7452" width="9.5703125" style="5" bestFit="1" customWidth="1"/>
    <col min="7453" max="7454" width="8.7109375" style="5" customWidth="1"/>
    <col min="7455" max="7456" width="12.42578125" style="5" bestFit="1" customWidth="1"/>
    <col min="7457" max="7680" width="9.140625" style="5"/>
    <col min="7681" max="7681" width="26" style="5" customWidth="1"/>
    <col min="7682" max="7691" width="0" style="5" hidden="1" customWidth="1"/>
    <col min="7692" max="7707" width="8.7109375" style="5" customWidth="1"/>
    <col min="7708" max="7708" width="9.5703125" style="5" bestFit="1" customWidth="1"/>
    <col min="7709" max="7710" width="8.7109375" style="5" customWidth="1"/>
    <col min="7711" max="7712" width="12.42578125" style="5" bestFit="1" customWidth="1"/>
    <col min="7713" max="7936" width="9.140625" style="5"/>
    <col min="7937" max="7937" width="26" style="5" customWidth="1"/>
    <col min="7938" max="7947" width="0" style="5" hidden="1" customWidth="1"/>
    <col min="7948" max="7963" width="8.7109375" style="5" customWidth="1"/>
    <col min="7964" max="7964" width="9.5703125" style="5" bestFit="1" customWidth="1"/>
    <col min="7965" max="7966" width="8.7109375" style="5" customWidth="1"/>
    <col min="7967" max="7968" width="12.42578125" style="5" bestFit="1" customWidth="1"/>
    <col min="7969" max="8192" width="9.140625" style="5"/>
    <col min="8193" max="8193" width="26" style="5" customWidth="1"/>
    <col min="8194" max="8203" width="0" style="5" hidden="1" customWidth="1"/>
    <col min="8204" max="8219" width="8.7109375" style="5" customWidth="1"/>
    <col min="8220" max="8220" width="9.5703125" style="5" bestFit="1" customWidth="1"/>
    <col min="8221" max="8222" width="8.7109375" style="5" customWidth="1"/>
    <col min="8223" max="8224" width="12.42578125" style="5" bestFit="1" customWidth="1"/>
    <col min="8225" max="8448" width="9.140625" style="5"/>
    <col min="8449" max="8449" width="26" style="5" customWidth="1"/>
    <col min="8450" max="8459" width="0" style="5" hidden="1" customWidth="1"/>
    <col min="8460" max="8475" width="8.7109375" style="5" customWidth="1"/>
    <col min="8476" max="8476" width="9.5703125" style="5" bestFit="1" customWidth="1"/>
    <col min="8477" max="8478" width="8.7109375" style="5" customWidth="1"/>
    <col min="8479" max="8480" width="12.42578125" style="5" bestFit="1" customWidth="1"/>
    <col min="8481" max="8704" width="9.140625" style="5"/>
    <col min="8705" max="8705" width="26" style="5" customWidth="1"/>
    <col min="8706" max="8715" width="0" style="5" hidden="1" customWidth="1"/>
    <col min="8716" max="8731" width="8.7109375" style="5" customWidth="1"/>
    <col min="8732" max="8732" width="9.5703125" style="5" bestFit="1" customWidth="1"/>
    <col min="8733" max="8734" width="8.7109375" style="5" customWidth="1"/>
    <col min="8735" max="8736" width="12.42578125" style="5" bestFit="1" customWidth="1"/>
    <col min="8737" max="8960" width="9.140625" style="5"/>
    <col min="8961" max="8961" width="26" style="5" customWidth="1"/>
    <col min="8962" max="8971" width="0" style="5" hidden="1" customWidth="1"/>
    <col min="8972" max="8987" width="8.7109375" style="5" customWidth="1"/>
    <col min="8988" max="8988" width="9.5703125" style="5" bestFit="1" customWidth="1"/>
    <col min="8989" max="8990" width="8.7109375" style="5" customWidth="1"/>
    <col min="8991" max="8992" width="12.42578125" style="5" bestFit="1" customWidth="1"/>
    <col min="8993" max="9216" width="9.140625" style="5"/>
    <col min="9217" max="9217" width="26" style="5" customWidth="1"/>
    <col min="9218" max="9227" width="0" style="5" hidden="1" customWidth="1"/>
    <col min="9228" max="9243" width="8.7109375" style="5" customWidth="1"/>
    <col min="9244" max="9244" width="9.5703125" style="5" bestFit="1" customWidth="1"/>
    <col min="9245" max="9246" width="8.7109375" style="5" customWidth="1"/>
    <col min="9247" max="9248" width="12.42578125" style="5" bestFit="1" customWidth="1"/>
    <col min="9249" max="9472" width="9.140625" style="5"/>
    <col min="9473" max="9473" width="26" style="5" customWidth="1"/>
    <col min="9474" max="9483" width="0" style="5" hidden="1" customWidth="1"/>
    <col min="9484" max="9499" width="8.7109375" style="5" customWidth="1"/>
    <col min="9500" max="9500" width="9.5703125" style="5" bestFit="1" customWidth="1"/>
    <col min="9501" max="9502" width="8.7109375" style="5" customWidth="1"/>
    <col min="9503" max="9504" width="12.42578125" style="5" bestFit="1" customWidth="1"/>
    <col min="9505" max="9728" width="9.140625" style="5"/>
    <col min="9729" max="9729" width="26" style="5" customWidth="1"/>
    <col min="9730" max="9739" width="0" style="5" hidden="1" customWidth="1"/>
    <col min="9740" max="9755" width="8.7109375" style="5" customWidth="1"/>
    <col min="9756" max="9756" width="9.5703125" style="5" bestFit="1" customWidth="1"/>
    <col min="9757" max="9758" width="8.7109375" style="5" customWidth="1"/>
    <col min="9759" max="9760" width="12.42578125" style="5" bestFit="1" customWidth="1"/>
    <col min="9761" max="9984" width="9.140625" style="5"/>
    <col min="9985" max="9985" width="26" style="5" customWidth="1"/>
    <col min="9986" max="9995" width="0" style="5" hidden="1" customWidth="1"/>
    <col min="9996" max="10011" width="8.7109375" style="5" customWidth="1"/>
    <col min="10012" max="10012" width="9.5703125" style="5" bestFit="1" customWidth="1"/>
    <col min="10013" max="10014" width="8.7109375" style="5" customWidth="1"/>
    <col min="10015" max="10016" width="12.42578125" style="5" bestFit="1" customWidth="1"/>
    <col min="10017" max="10240" width="9.140625" style="5"/>
    <col min="10241" max="10241" width="26" style="5" customWidth="1"/>
    <col min="10242" max="10251" width="0" style="5" hidden="1" customWidth="1"/>
    <col min="10252" max="10267" width="8.7109375" style="5" customWidth="1"/>
    <col min="10268" max="10268" width="9.5703125" style="5" bestFit="1" customWidth="1"/>
    <col min="10269" max="10270" width="8.7109375" style="5" customWidth="1"/>
    <col min="10271" max="10272" width="12.42578125" style="5" bestFit="1" customWidth="1"/>
    <col min="10273" max="10496" width="9.140625" style="5"/>
    <col min="10497" max="10497" width="26" style="5" customWidth="1"/>
    <col min="10498" max="10507" width="0" style="5" hidden="1" customWidth="1"/>
    <col min="10508" max="10523" width="8.7109375" style="5" customWidth="1"/>
    <col min="10524" max="10524" width="9.5703125" style="5" bestFit="1" customWidth="1"/>
    <col min="10525" max="10526" width="8.7109375" style="5" customWidth="1"/>
    <col min="10527" max="10528" width="12.42578125" style="5" bestFit="1" customWidth="1"/>
    <col min="10529" max="10752" width="9.140625" style="5"/>
    <col min="10753" max="10753" width="26" style="5" customWidth="1"/>
    <col min="10754" max="10763" width="0" style="5" hidden="1" customWidth="1"/>
    <col min="10764" max="10779" width="8.7109375" style="5" customWidth="1"/>
    <col min="10780" max="10780" width="9.5703125" style="5" bestFit="1" customWidth="1"/>
    <col min="10781" max="10782" width="8.7109375" style="5" customWidth="1"/>
    <col min="10783" max="10784" width="12.42578125" style="5" bestFit="1" customWidth="1"/>
    <col min="10785" max="11008" width="9.140625" style="5"/>
    <col min="11009" max="11009" width="26" style="5" customWidth="1"/>
    <col min="11010" max="11019" width="0" style="5" hidden="1" customWidth="1"/>
    <col min="11020" max="11035" width="8.7109375" style="5" customWidth="1"/>
    <col min="11036" max="11036" width="9.5703125" style="5" bestFit="1" customWidth="1"/>
    <col min="11037" max="11038" width="8.7109375" style="5" customWidth="1"/>
    <col min="11039" max="11040" width="12.42578125" style="5" bestFit="1" customWidth="1"/>
    <col min="11041" max="11264" width="9.140625" style="5"/>
    <col min="11265" max="11265" width="26" style="5" customWidth="1"/>
    <col min="11266" max="11275" width="0" style="5" hidden="1" customWidth="1"/>
    <col min="11276" max="11291" width="8.7109375" style="5" customWidth="1"/>
    <col min="11292" max="11292" width="9.5703125" style="5" bestFit="1" customWidth="1"/>
    <col min="11293" max="11294" width="8.7109375" style="5" customWidth="1"/>
    <col min="11295" max="11296" width="12.42578125" style="5" bestFit="1" customWidth="1"/>
    <col min="11297" max="11520" width="9.140625" style="5"/>
    <col min="11521" max="11521" width="26" style="5" customWidth="1"/>
    <col min="11522" max="11531" width="0" style="5" hidden="1" customWidth="1"/>
    <col min="11532" max="11547" width="8.7109375" style="5" customWidth="1"/>
    <col min="11548" max="11548" width="9.5703125" style="5" bestFit="1" customWidth="1"/>
    <col min="11549" max="11550" width="8.7109375" style="5" customWidth="1"/>
    <col min="11551" max="11552" width="12.42578125" style="5" bestFit="1" customWidth="1"/>
    <col min="11553" max="11776" width="9.140625" style="5"/>
    <col min="11777" max="11777" width="26" style="5" customWidth="1"/>
    <col min="11778" max="11787" width="0" style="5" hidden="1" customWidth="1"/>
    <col min="11788" max="11803" width="8.7109375" style="5" customWidth="1"/>
    <col min="11804" max="11804" width="9.5703125" style="5" bestFit="1" customWidth="1"/>
    <col min="11805" max="11806" width="8.7109375" style="5" customWidth="1"/>
    <col min="11807" max="11808" width="12.42578125" style="5" bestFit="1" customWidth="1"/>
    <col min="11809" max="12032" width="9.140625" style="5"/>
    <col min="12033" max="12033" width="26" style="5" customWidth="1"/>
    <col min="12034" max="12043" width="0" style="5" hidden="1" customWidth="1"/>
    <col min="12044" max="12059" width="8.7109375" style="5" customWidth="1"/>
    <col min="12060" max="12060" width="9.5703125" style="5" bestFit="1" customWidth="1"/>
    <col min="12061" max="12062" width="8.7109375" style="5" customWidth="1"/>
    <col min="12063" max="12064" width="12.42578125" style="5" bestFit="1" customWidth="1"/>
    <col min="12065" max="12288" width="9.140625" style="5"/>
    <col min="12289" max="12289" width="26" style="5" customWidth="1"/>
    <col min="12290" max="12299" width="0" style="5" hidden="1" customWidth="1"/>
    <col min="12300" max="12315" width="8.7109375" style="5" customWidth="1"/>
    <col min="12316" max="12316" width="9.5703125" style="5" bestFit="1" customWidth="1"/>
    <col min="12317" max="12318" width="8.7109375" style="5" customWidth="1"/>
    <col min="12319" max="12320" width="12.42578125" style="5" bestFit="1" customWidth="1"/>
    <col min="12321" max="12544" width="9.140625" style="5"/>
    <col min="12545" max="12545" width="26" style="5" customWidth="1"/>
    <col min="12546" max="12555" width="0" style="5" hidden="1" customWidth="1"/>
    <col min="12556" max="12571" width="8.7109375" style="5" customWidth="1"/>
    <col min="12572" max="12572" width="9.5703125" style="5" bestFit="1" customWidth="1"/>
    <col min="12573" max="12574" width="8.7109375" style="5" customWidth="1"/>
    <col min="12575" max="12576" width="12.42578125" style="5" bestFit="1" customWidth="1"/>
    <col min="12577" max="12800" width="9.140625" style="5"/>
    <col min="12801" max="12801" width="26" style="5" customWidth="1"/>
    <col min="12802" max="12811" width="0" style="5" hidden="1" customWidth="1"/>
    <col min="12812" max="12827" width="8.7109375" style="5" customWidth="1"/>
    <col min="12828" max="12828" width="9.5703125" style="5" bestFit="1" customWidth="1"/>
    <col min="12829" max="12830" width="8.7109375" style="5" customWidth="1"/>
    <col min="12831" max="12832" width="12.42578125" style="5" bestFit="1" customWidth="1"/>
    <col min="12833" max="13056" width="9.140625" style="5"/>
    <col min="13057" max="13057" width="26" style="5" customWidth="1"/>
    <col min="13058" max="13067" width="0" style="5" hidden="1" customWidth="1"/>
    <col min="13068" max="13083" width="8.7109375" style="5" customWidth="1"/>
    <col min="13084" max="13084" width="9.5703125" style="5" bestFit="1" customWidth="1"/>
    <col min="13085" max="13086" width="8.7109375" style="5" customWidth="1"/>
    <col min="13087" max="13088" width="12.42578125" style="5" bestFit="1" customWidth="1"/>
    <col min="13089" max="13312" width="9.140625" style="5"/>
    <col min="13313" max="13313" width="26" style="5" customWidth="1"/>
    <col min="13314" max="13323" width="0" style="5" hidden="1" customWidth="1"/>
    <col min="13324" max="13339" width="8.7109375" style="5" customWidth="1"/>
    <col min="13340" max="13340" width="9.5703125" style="5" bestFit="1" customWidth="1"/>
    <col min="13341" max="13342" width="8.7109375" style="5" customWidth="1"/>
    <col min="13343" max="13344" width="12.42578125" style="5" bestFit="1" customWidth="1"/>
    <col min="13345" max="13568" width="9.140625" style="5"/>
    <col min="13569" max="13569" width="26" style="5" customWidth="1"/>
    <col min="13570" max="13579" width="0" style="5" hidden="1" customWidth="1"/>
    <col min="13580" max="13595" width="8.7109375" style="5" customWidth="1"/>
    <col min="13596" max="13596" width="9.5703125" style="5" bestFit="1" customWidth="1"/>
    <col min="13597" max="13598" width="8.7109375" style="5" customWidth="1"/>
    <col min="13599" max="13600" width="12.42578125" style="5" bestFit="1" customWidth="1"/>
    <col min="13601" max="13824" width="9.140625" style="5"/>
    <col min="13825" max="13825" width="26" style="5" customWidth="1"/>
    <col min="13826" max="13835" width="0" style="5" hidden="1" customWidth="1"/>
    <col min="13836" max="13851" width="8.7109375" style="5" customWidth="1"/>
    <col min="13852" max="13852" width="9.5703125" style="5" bestFit="1" customWidth="1"/>
    <col min="13853" max="13854" width="8.7109375" style="5" customWidth="1"/>
    <col min="13855" max="13856" width="12.42578125" style="5" bestFit="1" customWidth="1"/>
    <col min="13857" max="14080" width="9.140625" style="5"/>
    <col min="14081" max="14081" width="26" style="5" customWidth="1"/>
    <col min="14082" max="14091" width="0" style="5" hidden="1" customWidth="1"/>
    <col min="14092" max="14107" width="8.7109375" style="5" customWidth="1"/>
    <col min="14108" max="14108" width="9.5703125" style="5" bestFit="1" customWidth="1"/>
    <col min="14109" max="14110" width="8.7109375" style="5" customWidth="1"/>
    <col min="14111" max="14112" width="12.42578125" style="5" bestFit="1" customWidth="1"/>
    <col min="14113" max="14336" width="9.140625" style="5"/>
    <col min="14337" max="14337" width="26" style="5" customWidth="1"/>
    <col min="14338" max="14347" width="0" style="5" hidden="1" customWidth="1"/>
    <col min="14348" max="14363" width="8.7109375" style="5" customWidth="1"/>
    <col min="14364" max="14364" width="9.5703125" style="5" bestFit="1" customWidth="1"/>
    <col min="14365" max="14366" width="8.7109375" style="5" customWidth="1"/>
    <col min="14367" max="14368" width="12.42578125" style="5" bestFit="1" customWidth="1"/>
    <col min="14369" max="14592" width="9.140625" style="5"/>
    <col min="14593" max="14593" width="26" style="5" customWidth="1"/>
    <col min="14594" max="14603" width="0" style="5" hidden="1" customWidth="1"/>
    <col min="14604" max="14619" width="8.7109375" style="5" customWidth="1"/>
    <col min="14620" max="14620" width="9.5703125" style="5" bestFit="1" customWidth="1"/>
    <col min="14621" max="14622" width="8.7109375" style="5" customWidth="1"/>
    <col min="14623" max="14624" width="12.42578125" style="5" bestFit="1" customWidth="1"/>
    <col min="14625" max="14848" width="9.140625" style="5"/>
    <col min="14849" max="14849" width="26" style="5" customWidth="1"/>
    <col min="14850" max="14859" width="0" style="5" hidden="1" customWidth="1"/>
    <col min="14860" max="14875" width="8.7109375" style="5" customWidth="1"/>
    <col min="14876" max="14876" width="9.5703125" style="5" bestFit="1" customWidth="1"/>
    <col min="14877" max="14878" width="8.7109375" style="5" customWidth="1"/>
    <col min="14879" max="14880" width="12.42578125" style="5" bestFit="1" customWidth="1"/>
    <col min="14881" max="15104" width="9.140625" style="5"/>
    <col min="15105" max="15105" width="26" style="5" customWidth="1"/>
    <col min="15106" max="15115" width="0" style="5" hidden="1" customWidth="1"/>
    <col min="15116" max="15131" width="8.7109375" style="5" customWidth="1"/>
    <col min="15132" max="15132" width="9.5703125" style="5" bestFit="1" customWidth="1"/>
    <col min="15133" max="15134" width="8.7109375" style="5" customWidth="1"/>
    <col min="15135" max="15136" width="12.42578125" style="5" bestFit="1" customWidth="1"/>
    <col min="15137" max="15360" width="9.140625" style="5"/>
    <col min="15361" max="15361" width="26" style="5" customWidth="1"/>
    <col min="15362" max="15371" width="0" style="5" hidden="1" customWidth="1"/>
    <col min="15372" max="15387" width="8.7109375" style="5" customWidth="1"/>
    <col min="15388" max="15388" width="9.5703125" style="5" bestFit="1" customWidth="1"/>
    <col min="15389" max="15390" width="8.7109375" style="5" customWidth="1"/>
    <col min="15391" max="15392" width="12.42578125" style="5" bestFit="1" customWidth="1"/>
    <col min="15393" max="15616" width="9.140625" style="5"/>
    <col min="15617" max="15617" width="26" style="5" customWidth="1"/>
    <col min="15618" max="15627" width="0" style="5" hidden="1" customWidth="1"/>
    <col min="15628" max="15643" width="8.7109375" style="5" customWidth="1"/>
    <col min="15644" max="15644" width="9.5703125" style="5" bestFit="1" customWidth="1"/>
    <col min="15645" max="15646" width="8.7109375" style="5" customWidth="1"/>
    <col min="15647" max="15648" width="12.42578125" style="5" bestFit="1" customWidth="1"/>
    <col min="15649" max="15872" width="9.140625" style="5"/>
    <col min="15873" max="15873" width="26" style="5" customWidth="1"/>
    <col min="15874" max="15883" width="0" style="5" hidden="1" customWidth="1"/>
    <col min="15884" max="15899" width="8.7109375" style="5" customWidth="1"/>
    <col min="15900" max="15900" width="9.5703125" style="5" bestFit="1" customWidth="1"/>
    <col min="15901" max="15902" width="8.7109375" style="5" customWidth="1"/>
    <col min="15903" max="15904" width="12.42578125" style="5" bestFit="1" customWidth="1"/>
    <col min="15905" max="16128" width="9.140625" style="5"/>
    <col min="16129" max="16129" width="26" style="5" customWidth="1"/>
    <col min="16130" max="16139" width="0" style="5" hidden="1" customWidth="1"/>
    <col min="16140" max="16155" width="8.7109375" style="5" customWidth="1"/>
    <col min="16156" max="16156" width="9.5703125" style="5" bestFit="1" customWidth="1"/>
    <col min="16157" max="16158" width="8.7109375" style="5" customWidth="1"/>
    <col min="16159" max="16160" width="12.42578125" style="5" bestFit="1" customWidth="1"/>
    <col min="16161" max="16384" width="9.140625" style="5"/>
  </cols>
  <sheetData>
    <row r="1" spans="1:31" x14ac:dyDescent="0.2">
      <c r="A1" s="3" t="s">
        <v>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39"/>
      <c r="AB1" s="4"/>
      <c r="AC1" s="4"/>
      <c r="AD1" s="4"/>
      <c r="AE1" s="4"/>
    </row>
    <row r="2" spans="1:31" x14ac:dyDescent="0.2">
      <c r="V2" s="15"/>
      <c r="Y2" s="15"/>
      <c r="Z2" s="15"/>
      <c r="AA2" s="15"/>
      <c r="AB2" s="15"/>
      <c r="AC2" s="15"/>
      <c r="AD2" s="15"/>
      <c r="AE2" s="15"/>
    </row>
    <row r="3" spans="1:31" x14ac:dyDescent="0.2">
      <c r="A3" s="5" t="s">
        <v>32</v>
      </c>
      <c r="B3" s="34" t="s">
        <v>75</v>
      </c>
      <c r="C3" s="34" t="s">
        <v>74</v>
      </c>
      <c r="D3" s="34" t="s">
        <v>73</v>
      </c>
      <c r="E3" s="34" t="s">
        <v>72</v>
      </c>
      <c r="F3" s="34" t="s">
        <v>71</v>
      </c>
      <c r="G3" s="34" t="s">
        <v>70</v>
      </c>
      <c r="H3" s="34" t="s">
        <v>34</v>
      </c>
      <c r="I3" s="34" t="s">
        <v>35</v>
      </c>
      <c r="J3" s="34" t="s">
        <v>36</v>
      </c>
      <c r="K3" s="34" t="s">
        <v>37</v>
      </c>
      <c r="L3" s="34" t="s">
        <v>0</v>
      </c>
      <c r="M3" s="34" t="s">
        <v>1</v>
      </c>
      <c r="N3" s="34" t="s">
        <v>2</v>
      </c>
      <c r="O3" s="34" t="s">
        <v>3</v>
      </c>
      <c r="P3" s="34" t="s">
        <v>4</v>
      </c>
      <c r="Q3" s="34" t="s">
        <v>5</v>
      </c>
      <c r="R3" s="34" t="s">
        <v>6</v>
      </c>
      <c r="S3" s="34" t="s">
        <v>7</v>
      </c>
      <c r="T3" s="34" t="s">
        <v>8</v>
      </c>
      <c r="U3" s="34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14</v>
      </c>
      <c r="AA3" s="34" t="s">
        <v>15</v>
      </c>
      <c r="AB3" s="35" t="s">
        <v>82</v>
      </c>
      <c r="AC3" s="35" t="s">
        <v>90</v>
      </c>
      <c r="AD3" s="35" t="s">
        <v>91</v>
      </c>
      <c r="AE3" s="35" t="s">
        <v>92</v>
      </c>
    </row>
    <row r="5" spans="1:31" x14ac:dyDescent="0.2">
      <c r="O5" s="5" t="s">
        <v>29</v>
      </c>
    </row>
    <row r="7" spans="1:31" x14ac:dyDescent="0.2">
      <c r="A7" s="5" t="s">
        <v>17</v>
      </c>
      <c r="B7" s="10">
        <v>1497.1698113207547</v>
      </c>
      <c r="C7" s="10">
        <v>1323.5849056603774</v>
      </c>
      <c r="D7" s="10">
        <v>995.28301886792451</v>
      </c>
      <c r="E7" s="10">
        <v>934.90566037735789</v>
      </c>
      <c r="F7" s="10">
        <v>887.735849056603</v>
      </c>
      <c r="G7" s="10">
        <v>1002.8301886792451</v>
      </c>
      <c r="H7" s="10">
        <v>1460.3773584905666</v>
      </c>
      <c r="I7" s="10">
        <v>1105.660377358492</v>
      </c>
      <c r="J7" s="10">
        <v>1126.4150943396253</v>
      </c>
      <c r="K7" s="10">
        <v>1166.9811320754752</v>
      </c>
      <c r="L7" s="10">
        <v>1854.2358490566075</v>
      </c>
      <c r="M7" s="10">
        <v>1221.2169811320791</v>
      </c>
      <c r="N7" s="10">
        <v>1620.754716981136</v>
      </c>
      <c r="O7" s="10">
        <v>1863.2075471698113</v>
      </c>
      <c r="P7" s="10">
        <v>587.89499999999998</v>
      </c>
      <c r="Q7" s="10">
        <v>917.92452830188995</v>
      </c>
      <c r="R7" s="10">
        <v>759.90599999999995</v>
      </c>
      <c r="S7" s="10">
        <v>965.59299999999996</v>
      </c>
      <c r="T7" s="10">
        <v>1460</v>
      </c>
      <c r="U7" s="10">
        <v>831.14400000000001</v>
      </c>
      <c r="V7" s="10">
        <v>810.70832636845898</v>
      </c>
      <c r="W7" s="10">
        <v>1036.9743263684586</v>
      </c>
      <c r="X7" s="10">
        <v>1002.3533263684567</v>
      </c>
      <c r="Y7" s="10">
        <v>1394.5443263684565</v>
      </c>
      <c r="Z7" s="10">
        <v>1168.752326368457</v>
      </c>
      <c r="AA7" s="10">
        <v>857.51832636845666</v>
      </c>
      <c r="AB7" s="10">
        <f>AA27</f>
        <v>1052.5423263684561</v>
      </c>
      <c r="AC7" s="10">
        <f>AB27</f>
        <v>964.27300000000002</v>
      </c>
      <c r="AD7" s="10">
        <f>AC27</f>
        <v>835.09100000000035</v>
      </c>
      <c r="AE7" s="10">
        <f>AD27</f>
        <v>1417.9339999999993</v>
      </c>
    </row>
    <row r="8" spans="1:31" x14ac:dyDescent="0.2">
      <c r="A8" s="5" t="s">
        <v>18</v>
      </c>
      <c r="B8" s="10">
        <v>4379.2452830188677</v>
      </c>
      <c r="C8" s="10">
        <v>4545.2830188679245</v>
      </c>
      <c r="D8" s="10">
        <v>5175.4716981132069</v>
      </c>
      <c r="E8" s="10">
        <v>4700</v>
      </c>
      <c r="F8" s="10">
        <v>4697.1698113207549</v>
      </c>
      <c r="G8" s="10">
        <v>4924.5283018867922</v>
      </c>
      <c r="H8" s="10">
        <v>4876.4150943396226</v>
      </c>
      <c r="I8" s="10">
        <v>4933.0188679245284</v>
      </c>
      <c r="J8" s="10">
        <v>5028.3018867924529</v>
      </c>
      <c r="K8" s="10">
        <v>5800.9433962264147</v>
      </c>
      <c r="L8" s="10">
        <v>5286.7924528301883</v>
      </c>
      <c r="M8" s="10">
        <v>5314.1509433962265</v>
      </c>
      <c r="N8" s="10">
        <v>5520.7547169811314</v>
      </c>
      <c r="O8" s="10">
        <v>4962.2641509433961</v>
      </c>
      <c r="P8" s="10">
        <v>4825.4716981132069</v>
      </c>
      <c r="Q8" s="10">
        <v>5183.5</v>
      </c>
      <c r="R8" s="10">
        <v>5048.4690000000001</v>
      </c>
      <c r="S8" s="10">
        <v>6974.799</v>
      </c>
      <c r="T8" s="10">
        <v>6021.2920000000004</v>
      </c>
      <c r="U8" s="10">
        <v>5984.9610000000002</v>
      </c>
      <c r="V8" s="10">
        <v>6117.0479999999998</v>
      </c>
      <c r="W8" s="10">
        <v>5957.17</v>
      </c>
      <c r="X8" s="10">
        <v>6009.52</v>
      </c>
      <c r="Y8" s="10">
        <v>6425.9189999999999</v>
      </c>
      <c r="Z8" s="10">
        <v>5278.32</v>
      </c>
      <c r="AA8" s="10">
        <v>5715</v>
      </c>
      <c r="AB8" s="10">
        <v>6185.05</v>
      </c>
      <c r="AC8" s="10">
        <v>5224.2479999999996</v>
      </c>
      <c r="AD8" s="10">
        <v>4703.5469999999996</v>
      </c>
      <c r="AE8" s="10">
        <v>5094.3396226415089</v>
      </c>
    </row>
    <row r="9" spans="1:31" x14ac:dyDescent="0.2">
      <c r="A9" s="5" t="s">
        <v>19</v>
      </c>
      <c r="B9" s="10">
        <v>220.75471698113208</v>
      </c>
      <c r="C9" s="10">
        <v>180.188679245283</v>
      </c>
      <c r="D9" s="10">
        <v>29.245283018867923</v>
      </c>
      <c r="E9" s="10">
        <v>38.679245283018865</v>
      </c>
      <c r="F9" s="10">
        <v>34.905660377358487</v>
      </c>
      <c r="G9" s="10">
        <v>40.566037735849058</v>
      </c>
      <c r="H9" s="10">
        <v>49.056603773584904</v>
      </c>
      <c r="I9" s="10">
        <v>59.433962264150942</v>
      </c>
      <c r="J9" s="10">
        <v>308.49056603773585</v>
      </c>
      <c r="K9" s="10">
        <v>252.83018867924528</v>
      </c>
      <c r="L9" s="10">
        <v>226.41509433962264</v>
      </c>
      <c r="M9" s="10">
        <v>447.16981132075472</v>
      </c>
      <c r="N9" s="10">
        <v>213.20754716981131</v>
      </c>
      <c r="O9" s="10">
        <v>149.815</v>
      </c>
      <c r="P9" s="10">
        <v>812.58112107547174</v>
      </c>
      <c r="Q9" s="10">
        <v>289.15899999999999</v>
      </c>
      <c r="R9" s="10">
        <v>476.37900000000002</v>
      </c>
      <c r="S9" s="10">
        <f>S10+S11</f>
        <v>216.66800000000001</v>
      </c>
      <c r="T9" s="10">
        <f t="shared" ref="T9:AE9" si="0">T10+T11</f>
        <v>131.41200000000001</v>
      </c>
      <c r="U9" s="10">
        <f t="shared" si="0"/>
        <v>128.23499999999999</v>
      </c>
      <c r="V9" s="10">
        <f t="shared" si="0"/>
        <v>82.876000000000005</v>
      </c>
      <c r="W9" s="10">
        <f t="shared" si="0"/>
        <v>92.903999999999996</v>
      </c>
      <c r="X9" s="10">
        <f t="shared" si="0"/>
        <v>220.387</v>
      </c>
      <c r="Y9" s="10">
        <f t="shared" si="0"/>
        <v>84.837999999999994</v>
      </c>
      <c r="Z9" s="10">
        <f t="shared" si="0"/>
        <v>77.054000000000002</v>
      </c>
      <c r="AA9" s="10">
        <f t="shared" si="0"/>
        <v>64.8</v>
      </c>
      <c r="AB9" s="10">
        <f t="shared" si="0"/>
        <v>30.826000000000001</v>
      </c>
      <c r="AC9" s="10">
        <f t="shared" si="0"/>
        <v>284.52299999999997</v>
      </c>
      <c r="AD9" s="10">
        <f t="shared" si="0"/>
        <v>761.19799999999998</v>
      </c>
      <c r="AE9" s="10">
        <f t="shared" si="0"/>
        <v>95.754716981132077</v>
      </c>
    </row>
    <row r="10" spans="1:31" x14ac:dyDescent="0.2">
      <c r="A10" s="5" t="s">
        <v>85</v>
      </c>
      <c r="B10" s="11" t="s">
        <v>84</v>
      </c>
      <c r="C10" s="11" t="s">
        <v>84</v>
      </c>
      <c r="D10" s="11" t="s">
        <v>84</v>
      </c>
      <c r="E10" s="11" t="s">
        <v>84</v>
      </c>
      <c r="F10" s="11" t="s">
        <v>84</v>
      </c>
      <c r="G10" s="11" t="s">
        <v>84</v>
      </c>
      <c r="H10" s="11" t="s">
        <v>84</v>
      </c>
      <c r="I10" s="11" t="s">
        <v>84</v>
      </c>
      <c r="J10" s="11" t="s">
        <v>84</v>
      </c>
      <c r="K10" s="11" t="s">
        <v>84</v>
      </c>
      <c r="L10" s="11" t="s">
        <v>84</v>
      </c>
      <c r="M10" s="11" t="s">
        <v>84</v>
      </c>
      <c r="N10" s="11" t="s">
        <v>84</v>
      </c>
      <c r="O10" s="11" t="s">
        <v>84</v>
      </c>
      <c r="P10" s="11" t="s">
        <v>84</v>
      </c>
      <c r="Q10" s="11" t="s">
        <v>84</v>
      </c>
      <c r="R10" s="11" t="s">
        <v>84</v>
      </c>
      <c r="S10" s="10">
        <v>9.3759999999999994</v>
      </c>
      <c r="T10" s="10">
        <v>8.7010000000000005</v>
      </c>
      <c r="U10" s="10">
        <v>7.5190000000000001</v>
      </c>
      <c r="V10" s="10">
        <v>16.556000000000001</v>
      </c>
      <c r="W10" s="10">
        <v>48.39</v>
      </c>
      <c r="X10" s="10">
        <v>132.34299999999999</v>
      </c>
      <c r="Y10" s="10">
        <v>21.670999999999999</v>
      </c>
      <c r="Z10" s="10">
        <v>54.545999999999999</v>
      </c>
      <c r="AA10" s="10">
        <v>31.8</v>
      </c>
      <c r="AB10" s="10">
        <v>6.8650000000000002</v>
      </c>
      <c r="AC10" s="10">
        <v>266.51299999999998</v>
      </c>
      <c r="AD10" s="10">
        <v>721.524</v>
      </c>
      <c r="AE10" s="10">
        <v>25</v>
      </c>
    </row>
    <row r="11" spans="1:31" x14ac:dyDescent="0.2">
      <c r="A11" s="5" t="s">
        <v>86</v>
      </c>
      <c r="B11" s="11" t="s">
        <v>84</v>
      </c>
      <c r="C11" s="11" t="s">
        <v>84</v>
      </c>
      <c r="D11" s="11" t="s">
        <v>84</v>
      </c>
      <c r="E11" s="11" t="s">
        <v>84</v>
      </c>
      <c r="F11" s="11" t="s">
        <v>84</v>
      </c>
      <c r="G11" s="11" t="s">
        <v>84</v>
      </c>
      <c r="H11" s="11" t="s">
        <v>84</v>
      </c>
      <c r="I11" s="11" t="s">
        <v>84</v>
      </c>
      <c r="J11" s="11" t="s">
        <v>84</v>
      </c>
      <c r="K11" s="11" t="s">
        <v>84</v>
      </c>
      <c r="L11" s="11" t="s">
        <v>84</v>
      </c>
      <c r="M11" s="11" t="s">
        <v>84</v>
      </c>
      <c r="N11" s="11" t="s">
        <v>84</v>
      </c>
      <c r="O11" s="11" t="s">
        <v>84</v>
      </c>
      <c r="P11" s="11" t="s">
        <v>84</v>
      </c>
      <c r="Q11" s="11" t="s">
        <v>84</v>
      </c>
      <c r="R11" s="11" t="s">
        <v>84</v>
      </c>
      <c r="S11" s="10">
        <v>207.292</v>
      </c>
      <c r="T11" s="10">
        <v>122.71100000000001</v>
      </c>
      <c r="U11" s="10">
        <v>120.71599999999999</v>
      </c>
      <c r="V11" s="10">
        <v>66.320000000000007</v>
      </c>
      <c r="W11" s="10">
        <v>44.513999999999996</v>
      </c>
      <c r="X11" s="10">
        <v>88.043999999999997</v>
      </c>
      <c r="Y11" s="10">
        <v>63.167000000000002</v>
      </c>
      <c r="Z11" s="10">
        <v>22.507999999999999</v>
      </c>
      <c r="AA11" s="10">
        <v>33</v>
      </c>
      <c r="AB11" s="10">
        <v>23.960999999999999</v>
      </c>
      <c r="AC11" s="10">
        <v>18.010000000000002</v>
      </c>
      <c r="AD11" s="10">
        <v>39.673999999999999</v>
      </c>
      <c r="AE11" s="10">
        <v>70.754716981132077</v>
      </c>
    </row>
    <row r="12" spans="1:3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31" x14ac:dyDescent="0.2">
      <c r="A13" s="5" t="s">
        <v>20</v>
      </c>
      <c r="B13" s="10">
        <f>B7+B8+B9</f>
        <v>6097.1698113207549</v>
      </c>
      <c r="C13" s="10">
        <f>C7+C8+C9</f>
        <v>6049.0566037735853</v>
      </c>
      <c r="D13" s="10">
        <f t="shared" ref="D13:Z13" si="1">D7+D8+D9</f>
        <v>6199.9999999999991</v>
      </c>
      <c r="E13" s="10">
        <f t="shared" si="1"/>
        <v>5673.5849056603765</v>
      </c>
      <c r="F13" s="10">
        <f t="shared" si="1"/>
        <v>5619.8113207547167</v>
      </c>
      <c r="G13" s="10">
        <f t="shared" si="1"/>
        <v>5967.9245283018863</v>
      </c>
      <c r="H13" s="10">
        <f t="shared" si="1"/>
        <v>6385.8490566037744</v>
      </c>
      <c r="I13" s="10">
        <f t="shared" si="1"/>
        <v>6098.1132075471714</v>
      </c>
      <c r="J13" s="10">
        <f t="shared" si="1"/>
        <v>6463.2075471698145</v>
      </c>
      <c r="K13" s="10">
        <f t="shared" si="1"/>
        <v>7220.7547169811351</v>
      </c>
      <c r="L13" s="10">
        <f t="shared" si="1"/>
        <v>7367.4433962264184</v>
      </c>
      <c r="M13" s="10">
        <f t="shared" si="1"/>
        <v>6982.5377358490605</v>
      </c>
      <c r="N13" s="10">
        <f t="shared" si="1"/>
        <v>7354.7169811320791</v>
      </c>
      <c r="O13" s="10">
        <f t="shared" si="1"/>
        <v>6975.2866981132074</v>
      </c>
      <c r="P13" s="10">
        <f t="shared" si="1"/>
        <v>6225.9478191886783</v>
      </c>
      <c r="Q13" s="10">
        <f t="shared" si="1"/>
        <v>6390.5835283018896</v>
      </c>
      <c r="R13" s="10">
        <f t="shared" si="1"/>
        <v>6284.7539999999999</v>
      </c>
      <c r="S13" s="10">
        <f t="shared" si="1"/>
        <v>8157.0599999999995</v>
      </c>
      <c r="T13" s="10">
        <f t="shared" si="1"/>
        <v>7612.7040000000006</v>
      </c>
      <c r="U13" s="10">
        <f t="shared" si="1"/>
        <v>6944.34</v>
      </c>
      <c r="V13" s="10">
        <f t="shared" si="1"/>
        <v>7010.632326368459</v>
      </c>
      <c r="W13" s="10">
        <f t="shared" si="1"/>
        <v>7087.0483263684582</v>
      </c>
      <c r="X13" s="10">
        <f t="shared" si="1"/>
        <v>7232.2603263684568</v>
      </c>
      <c r="Y13" s="10">
        <f t="shared" si="1"/>
        <v>7905.3013263684561</v>
      </c>
      <c r="Z13" s="10">
        <f t="shared" si="1"/>
        <v>6524.1263263684568</v>
      </c>
      <c r="AA13" s="10">
        <f>AA7+AA8+AA9</f>
        <v>6637.3183263684568</v>
      </c>
      <c r="AB13" s="10">
        <f>AB7+AB8+AB9</f>
        <v>7268.4183263684563</v>
      </c>
      <c r="AC13" s="10">
        <f>AC7+AC8+AC9</f>
        <v>6473.0439999999999</v>
      </c>
      <c r="AD13" s="10">
        <f>AD7+AD8+AD9</f>
        <v>6299.8360000000002</v>
      </c>
      <c r="AE13" s="10">
        <f>AE7+AE8+AE9</f>
        <v>6608.0283396226405</v>
      </c>
    </row>
    <row r="14" spans="1:3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1" x14ac:dyDescent="0.2">
      <c r="A15" s="5" t="s">
        <v>21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31" x14ac:dyDescent="0.2">
      <c r="A16" s="5" t="s">
        <v>22</v>
      </c>
      <c r="B16" s="10">
        <v>4097.1698113207549</v>
      </c>
      <c r="C16" s="10">
        <v>4057.5471698113206</v>
      </c>
      <c r="D16" s="10">
        <v>4142.4528301886794</v>
      </c>
      <c r="E16" s="10">
        <v>4171.6981132075471</v>
      </c>
      <c r="F16" s="10">
        <v>4193.3962264150941</v>
      </c>
      <c r="G16" s="10">
        <v>4227.3584905660373</v>
      </c>
      <c r="H16" s="10">
        <v>4720.7547169811314</v>
      </c>
      <c r="I16" s="10">
        <v>4808.4905660377353</v>
      </c>
      <c r="J16" s="10">
        <v>5075.4716981132069</v>
      </c>
      <c r="K16" s="10">
        <v>4980.1886792452824</v>
      </c>
      <c r="L16" s="10">
        <v>5024.5283018867922</v>
      </c>
      <c r="M16" s="10">
        <v>4842.9150943396226</v>
      </c>
      <c r="N16" s="10">
        <v>4801.8867924528304</v>
      </c>
      <c r="O16" s="10">
        <v>4992.9769999999999</v>
      </c>
      <c r="P16" s="10">
        <v>4353.5640000000003</v>
      </c>
      <c r="Q16" s="10">
        <v>3949.9830000000002</v>
      </c>
      <c r="R16" s="10">
        <v>4135.4340000000002</v>
      </c>
      <c r="S16" s="10">
        <v>4286.8670000000002</v>
      </c>
      <c r="T16" s="10">
        <v>4098.0730000000003</v>
      </c>
      <c r="U16" s="10">
        <v>4408.3119999999999</v>
      </c>
      <c r="V16" s="10">
        <v>4386.9369999999999</v>
      </c>
      <c r="W16" s="10">
        <v>4515.2420000000002</v>
      </c>
      <c r="X16" s="10">
        <v>4228.3689999999997</v>
      </c>
      <c r="Y16" s="10">
        <v>4091.92</v>
      </c>
      <c r="Z16" s="10">
        <v>4101.1279999999997</v>
      </c>
      <c r="AA16" s="10">
        <v>3935.43</v>
      </c>
      <c r="AB16" s="10">
        <v>4113.0739999999996</v>
      </c>
      <c r="AC16" s="10">
        <v>4193.1989999999996</v>
      </c>
      <c r="AD16" s="10">
        <v>4126.5540000000001</v>
      </c>
      <c r="AE16" s="10">
        <v>4227.832675294896</v>
      </c>
    </row>
    <row r="17" spans="1:31" x14ac:dyDescent="0.2">
      <c r="A17" s="5" t="s">
        <v>23</v>
      </c>
      <c r="B17" s="10">
        <v>66.981132075471692</v>
      </c>
      <c r="C17" s="10">
        <v>84.905660377358487</v>
      </c>
      <c r="D17" s="10">
        <v>107.54716981132074</v>
      </c>
      <c r="E17" s="10">
        <v>119.81132075471697</v>
      </c>
      <c r="F17" s="10">
        <v>123.58490566037736</v>
      </c>
      <c r="G17" s="10">
        <v>133.96226415094338</v>
      </c>
      <c r="H17" s="10">
        <v>169.81132075471697</v>
      </c>
      <c r="I17" s="10">
        <v>127.35849056603773</v>
      </c>
      <c r="J17" s="10">
        <v>207.54716981132074</v>
      </c>
      <c r="K17" s="10">
        <v>266.03773584905662</v>
      </c>
      <c r="L17" s="10">
        <v>304.71698113207543</v>
      </c>
      <c r="M17" s="10">
        <v>367.92452830188677</v>
      </c>
      <c r="N17" s="10">
        <v>390.56603773584902</v>
      </c>
      <c r="O17" s="10">
        <v>365.87400000000002</v>
      </c>
      <c r="P17" s="10">
        <v>270.69622517660684</v>
      </c>
      <c r="Q17" s="10">
        <v>292.779</v>
      </c>
      <c r="R17" s="10">
        <v>343.88400000000001</v>
      </c>
      <c r="S17" s="10">
        <v>384</v>
      </c>
      <c r="T17" s="10">
        <v>323.82600000000002</v>
      </c>
      <c r="U17" s="10">
        <v>336.79700000000003</v>
      </c>
      <c r="V17" s="10">
        <v>389.988</v>
      </c>
      <c r="W17" s="10">
        <v>396.56</v>
      </c>
      <c r="X17" s="10">
        <v>481.59399999999999</v>
      </c>
      <c r="Y17" s="10">
        <v>459.92600000000004</v>
      </c>
      <c r="Z17" s="10">
        <v>352.25700000000001</v>
      </c>
      <c r="AA17" s="10">
        <v>484.57900000000001</v>
      </c>
      <c r="AB17" s="10">
        <v>531.85699999999997</v>
      </c>
      <c r="AC17" s="10">
        <v>404.755</v>
      </c>
      <c r="AD17" s="10">
        <v>304.07299999999998</v>
      </c>
      <c r="AE17" s="10">
        <v>402.35849056603774</v>
      </c>
    </row>
    <row r="18" spans="1:31" x14ac:dyDescent="0.2">
      <c r="A18" s="5" t="s">
        <v>24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v>-339.62264150943395</v>
      </c>
      <c r="O18" s="10">
        <v>-271.73030188679218</v>
      </c>
      <c r="P18" s="10">
        <v>-25.308405987928836</v>
      </c>
      <c r="Q18" s="10">
        <v>-81.463471698110425</v>
      </c>
      <c r="R18" s="10">
        <v>-89.320000000000277</v>
      </c>
      <c r="S18" s="10">
        <v>52.846999999999298</v>
      </c>
      <c r="T18" s="10">
        <v>-151.19899999999961</v>
      </c>
      <c r="U18" s="10">
        <v>-53.766554975407985</v>
      </c>
      <c r="V18" s="10">
        <v>-9.7872663027904405</v>
      </c>
      <c r="W18" s="10">
        <v>-60.636572912826864</v>
      </c>
      <c r="X18" s="10">
        <v>28.833960443277419</v>
      </c>
      <c r="Y18" s="10">
        <v>-19.715698289274769</v>
      </c>
      <c r="Z18" s="10">
        <v>1.3386479180318247</v>
      </c>
      <c r="AA18" s="10">
        <v>-9.5999999999776264E-2</v>
      </c>
      <c r="AB18" s="10">
        <f>AB13-AB21-AB16-AB17-AB27</f>
        <v>-16.385824574939647</v>
      </c>
      <c r="AC18" s="10">
        <v>28.900201426753483</v>
      </c>
      <c r="AD18" s="10">
        <v>5.3739914480081552</v>
      </c>
      <c r="AE18" s="10">
        <v>0</v>
      </c>
    </row>
    <row r="19" spans="1:31" x14ac:dyDescent="0.2">
      <c r="A19" s="5" t="s">
        <v>25</v>
      </c>
      <c r="B19" s="10">
        <f t="shared" ref="B19:M19" si="2">B16+B17</f>
        <v>4164.1509433962265</v>
      </c>
      <c r="C19" s="10">
        <f t="shared" si="2"/>
        <v>4142.4528301886794</v>
      </c>
      <c r="D19" s="10">
        <f t="shared" si="2"/>
        <v>4250</v>
      </c>
      <c r="E19" s="10">
        <f t="shared" si="2"/>
        <v>4291.5094339622638</v>
      </c>
      <c r="F19" s="10">
        <f t="shared" si="2"/>
        <v>4316.9811320754716</v>
      </c>
      <c r="G19" s="10">
        <f t="shared" si="2"/>
        <v>4361.3207547169804</v>
      </c>
      <c r="H19" s="10">
        <f t="shared" si="2"/>
        <v>4890.5660377358481</v>
      </c>
      <c r="I19" s="10">
        <f t="shared" si="2"/>
        <v>4935.8490566037726</v>
      </c>
      <c r="J19" s="10">
        <f t="shared" si="2"/>
        <v>5283.0188679245275</v>
      </c>
      <c r="K19" s="10">
        <f t="shared" si="2"/>
        <v>5246.2264150943392</v>
      </c>
      <c r="L19" s="10">
        <f t="shared" si="2"/>
        <v>5329.2452830188677</v>
      </c>
      <c r="M19" s="10">
        <f t="shared" si="2"/>
        <v>5210.8396226415098</v>
      </c>
      <c r="N19" s="10">
        <f>N16+N17+N18</f>
        <v>4852.8301886792451</v>
      </c>
      <c r="O19" s="10">
        <f>O16+O17+O18</f>
        <v>5087.1206981132073</v>
      </c>
      <c r="P19" s="10">
        <f>P16+P17+P18</f>
        <v>4598.9518191886782</v>
      </c>
      <c r="Q19" s="10">
        <f>Q16+Q17+Q18</f>
        <v>4161.2985283018897</v>
      </c>
      <c r="R19" s="10">
        <f>R16+R17+R18</f>
        <v>4389.9979999999996</v>
      </c>
      <c r="S19" s="10">
        <f>S16+S17</f>
        <v>4670.8670000000002</v>
      </c>
      <c r="T19" s="10">
        <f t="shared" ref="T19:Z19" si="3">T16+T17+T18</f>
        <v>4270.7000000000007</v>
      </c>
      <c r="U19" s="10">
        <f t="shared" si="3"/>
        <v>4691.3424450245921</v>
      </c>
      <c r="V19" s="10">
        <f t="shared" si="3"/>
        <v>4767.13773369721</v>
      </c>
      <c r="W19" s="10">
        <f t="shared" si="3"/>
        <v>4851.1654270871741</v>
      </c>
      <c r="X19" s="10">
        <f t="shared" si="3"/>
        <v>4738.7969604432774</v>
      </c>
      <c r="Y19" s="10">
        <f t="shared" si="3"/>
        <v>4532.1303017107257</v>
      </c>
      <c r="Z19" s="10">
        <f t="shared" si="3"/>
        <v>4454.723647918031</v>
      </c>
      <c r="AA19" s="10">
        <f>AA16+AA17+AA18</f>
        <v>4419.9130000000005</v>
      </c>
      <c r="AB19" s="10">
        <f>AB16+AB17+AB18</f>
        <v>4628.5451754250598</v>
      </c>
      <c r="AC19" s="10">
        <f>AC16+AC17+AC18</f>
        <v>4626.8542014267532</v>
      </c>
      <c r="AD19" s="10">
        <f>AD16+AD17+AD18</f>
        <v>4436.0009914480088</v>
      </c>
      <c r="AE19" s="10">
        <f>AE16+AE17+AE18</f>
        <v>4630.1911658609333</v>
      </c>
    </row>
    <row r="21" spans="1:31" x14ac:dyDescent="0.2">
      <c r="A21" s="5" t="s">
        <v>26</v>
      </c>
      <c r="B21" s="10">
        <v>609.43396226415086</v>
      </c>
      <c r="C21" s="10">
        <v>911.32075471698113</v>
      </c>
      <c r="D21" s="10">
        <v>1015.0943396226414</v>
      </c>
      <c r="E21" s="10">
        <v>494.33962264150944</v>
      </c>
      <c r="F21" s="10">
        <v>300</v>
      </c>
      <c r="G21" s="10">
        <v>146.22641509433961</v>
      </c>
      <c r="H21" s="10">
        <v>389.62264150943395</v>
      </c>
      <c r="I21" s="10">
        <v>35.849056603773583</v>
      </c>
      <c r="J21" s="10">
        <v>13.20754716981132</v>
      </c>
      <c r="K21" s="10">
        <v>120.29245283018868</v>
      </c>
      <c r="L21" s="10">
        <v>816.98113207547169</v>
      </c>
      <c r="M21" s="10">
        <v>150.94339622641508</v>
      </c>
      <c r="N21" s="10">
        <v>638.67924528301887</v>
      </c>
      <c r="O21" s="10">
        <v>1300.271</v>
      </c>
      <c r="P21" s="10">
        <v>708.89700000000005</v>
      </c>
      <c r="Q21" s="10">
        <v>1469.3789999999999</v>
      </c>
      <c r="R21" s="10">
        <v>929.16300000000001</v>
      </c>
      <c r="S21" s="10">
        <v>1972.8119999999999</v>
      </c>
      <c r="T21" s="10">
        <v>2511.203</v>
      </c>
      <c r="U21" s="10">
        <v>1442.2885549754087</v>
      </c>
      <c r="V21" s="10">
        <v>1206.5202663027901</v>
      </c>
      <c r="W21" s="10">
        <v>1233.529572912827</v>
      </c>
      <c r="X21" s="10">
        <v>1098.9190395567227</v>
      </c>
      <c r="Y21" s="10">
        <v>2204.4186982892738</v>
      </c>
      <c r="Z21" s="10">
        <v>1211.8843520819687</v>
      </c>
      <c r="AA21" s="10">
        <v>1164.8630000000001</v>
      </c>
      <c r="AB21" s="10">
        <v>1675.6001509433963</v>
      </c>
      <c r="AC21" s="10">
        <v>1011.0987985732464</v>
      </c>
      <c r="AD21" s="10">
        <v>445.90100855199256</v>
      </c>
      <c r="AE21" s="10">
        <v>1005.8253535179465</v>
      </c>
    </row>
    <row r="22" spans="1:31" x14ac:dyDescent="0.2">
      <c r="A22" s="5" t="s">
        <v>83</v>
      </c>
      <c r="B22" s="11" t="s">
        <v>84</v>
      </c>
      <c r="C22" s="11" t="s">
        <v>84</v>
      </c>
      <c r="D22" s="11" t="s">
        <v>84</v>
      </c>
      <c r="E22" s="11" t="s">
        <v>84</v>
      </c>
      <c r="F22" s="11" t="s">
        <v>84</v>
      </c>
      <c r="G22" s="11" t="s">
        <v>84</v>
      </c>
      <c r="H22" s="11" t="s">
        <v>84</v>
      </c>
      <c r="I22" s="11" t="s">
        <v>84</v>
      </c>
      <c r="J22" s="11" t="s">
        <v>84</v>
      </c>
      <c r="K22" s="11" t="s">
        <v>84</v>
      </c>
      <c r="L22" s="11" t="s">
        <v>84</v>
      </c>
      <c r="M22" s="10">
        <f>Table24a!H22/1.06*(2000/2204.6225)</f>
        <v>51.350082460743884</v>
      </c>
      <c r="N22" s="10">
        <f>Table24a!I22/1.06*(2000/2204.6225)</f>
        <v>593.94928712927094</v>
      </c>
      <c r="O22" s="10">
        <f>Table24a!J22/1.06*(2000/2204.6225)</f>
        <v>1199.8802601660486</v>
      </c>
      <c r="P22" s="10">
        <f>Table24a!K22/1.06*(2000/2204.6225)</f>
        <v>690.72108503066579</v>
      </c>
      <c r="Q22" s="10">
        <f>Table24a!L22/1.06*(2000/2204.6225)</f>
        <v>1461.3634384032332</v>
      </c>
      <c r="R22" s="10">
        <f>Table24a!M22/1.06*(2000/2204.6225)</f>
        <v>916.84801982421277</v>
      </c>
      <c r="S22" s="10">
        <f>Table24a!N22/1.06*(2000/2204.6225)</f>
        <v>1818.1138571257129</v>
      </c>
      <c r="T22" s="10">
        <f>Table24a!O22/1.06*(2000/2204.6225)</f>
        <v>1822.6172593575204</v>
      </c>
      <c r="U22" s="10">
        <f>Table24a!P22/1.06*(2000/2204.6225)</f>
        <v>1310.8135549754088</v>
      </c>
      <c r="V22" s="10">
        <f>Table24a!Q22/1.06*(2000/2204.6225)</f>
        <v>1120.1532663027899</v>
      </c>
      <c r="W22" s="10">
        <f>Table24a!R22/1.06*(2000/2204.6225)</f>
        <v>1028.2665729128271</v>
      </c>
      <c r="X22" s="10">
        <f>Table24a!S22/1.06*(2000/2204.6225)</f>
        <v>1046.9340395567228</v>
      </c>
      <c r="Y22" s="10">
        <f>Table24a!T22/1.06*(2000/2204.6225)</f>
        <v>856.21469828927411</v>
      </c>
      <c r="Z22" s="10">
        <f>Table24a!U22/1.06*(2000/2204.6225)</f>
        <v>1177.2023520819687</v>
      </c>
      <c r="AA22" s="10">
        <f>Table24a!V22/1.06*(2000/2204.6225)</f>
        <v>828.34016186016697</v>
      </c>
      <c r="AB22" s="10">
        <f>Table24a!W22/1.06*(2000/2204.6225)</f>
        <v>1180.1141509433965</v>
      </c>
      <c r="AC22" s="10">
        <f>Table24a!X22/1.06*(2000/2204.6225)</f>
        <v>989.23879857324641</v>
      </c>
      <c r="AD22" s="10">
        <f>Table24a!Y22/1.06*(2000/2204.6225)</f>
        <v>445.90100855199256</v>
      </c>
      <c r="AE22" s="10">
        <f>Table24a!Z22/1.06*(2000/2204.6225)</f>
        <v>338.02261573169233</v>
      </c>
    </row>
    <row r="23" spans="1:31" x14ac:dyDescent="0.2">
      <c r="A23" s="5" t="s">
        <v>88</v>
      </c>
      <c r="B23" s="11" t="s">
        <v>84</v>
      </c>
      <c r="C23" s="11" t="s">
        <v>84</v>
      </c>
      <c r="D23" s="11" t="s">
        <v>84</v>
      </c>
      <c r="E23" s="11" t="s">
        <v>84</v>
      </c>
      <c r="F23" s="11" t="s">
        <v>84</v>
      </c>
      <c r="G23" s="11" t="s">
        <v>84</v>
      </c>
      <c r="H23" s="11" t="s">
        <v>84</v>
      </c>
      <c r="I23" s="11" t="s">
        <v>84</v>
      </c>
      <c r="J23" s="11" t="s">
        <v>84</v>
      </c>
      <c r="K23" s="11" t="s">
        <v>84</v>
      </c>
      <c r="L23" s="11" t="s">
        <v>84</v>
      </c>
      <c r="M23" s="10">
        <f>M21-M22</f>
        <v>99.593313765671184</v>
      </c>
      <c r="N23" s="10">
        <f t="shared" ref="N23:AE23" si="4">N21-N22</f>
        <v>44.72995815374793</v>
      </c>
      <c r="O23" s="10">
        <f t="shared" si="4"/>
        <v>100.39073983395133</v>
      </c>
      <c r="P23" s="10">
        <f t="shared" si="4"/>
        <v>18.175914969334258</v>
      </c>
      <c r="Q23" s="10">
        <f t="shared" si="4"/>
        <v>8.0155615967667018</v>
      </c>
      <c r="R23" s="10">
        <f t="shared" si="4"/>
        <v>12.314980175787241</v>
      </c>
      <c r="S23" s="10">
        <f t="shared" si="4"/>
        <v>154.69814287428699</v>
      </c>
      <c r="T23" s="10">
        <f t="shared" si="4"/>
        <v>688.58574064247955</v>
      </c>
      <c r="U23" s="10">
        <f t="shared" si="4"/>
        <v>131.47499999999991</v>
      </c>
      <c r="V23" s="10">
        <f t="shared" si="4"/>
        <v>86.367000000000189</v>
      </c>
      <c r="W23" s="10">
        <f t="shared" si="4"/>
        <v>205.26299999999992</v>
      </c>
      <c r="X23" s="10">
        <f t="shared" si="4"/>
        <v>51.9849999999999</v>
      </c>
      <c r="Y23" s="10">
        <f t="shared" si="4"/>
        <v>1348.2039999999997</v>
      </c>
      <c r="Z23" s="10">
        <f t="shared" si="4"/>
        <v>34.682000000000016</v>
      </c>
      <c r="AA23" s="10">
        <f t="shared" si="4"/>
        <v>336.52283813983308</v>
      </c>
      <c r="AB23" s="10">
        <f t="shared" si="4"/>
        <v>495.48599999999988</v>
      </c>
      <c r="AC23" s="10">
        <f t="shared" si="4"/>
        <v>21.860000000000014</v>
      </c>
      <c r="AD23" s="10">
        <f t="shared" si="4"/>
        <v>0</v>
      </c>
      <c r="AE23" s="10">
        <f t="shared" si="4"/>
        <v>667.80273778625417</v>
      </c>
    </row>
    <row r="24" spans="1:3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31" x14ac:dyDescent="0.2">
      <c r="A25" s="5" t="s">
        <v>27</v>
      </c>
      <c r="B25" s="10">
        <f t="shared" ref="B25:Y25" si="5">B19+B21</f>
        <v>4773.5849056603774</v>
      </c>
      <c r="C25" s="10">
        <f t="shared" si="5"/>
        <v>5053.7735849056608</v>
      </c>
      <c r="D25" s="10">
        <f t="shared" si="5"/>
        <v>5265.0943396226412</v>
      </c>
      <c r="E25" s="10">
        <f t="shared" si="5"/>
        <v>4785.8490566037735</v>
      </c>
      <c r="F25" s="10">
        <f t="shared" si="5"/>
        <v>4616.9811320754716</v>
      </c>
      <c r="G25" s="10">
        <f t="shared" si="5"/>
        <v>4507.5471698113197</v>
      </c>
      <c r="H25" s="10">
        <f t="shared" si="5"/>
        <v>5280.1886792452824</v>
      </c>
      <c r="I25" s="10">
        <f t="shared" si="5"/>
        <v>4971.6981132075462</v>
      </c>
      <c r="J25" s="10">
        <f t="shared" si="5"/>
        <v>5296.2264150943392</v>
      </c>
      <c r="K25" s="10">
        <f t="shared" si="5"/>
        <v>5366.5188679245275</v>
      </c>
      <c r="L25" s="10">
        <f t="shared" si="5"/>
        <v>6146.2264150943392</v>
      </c>
      <c r="M25" s="10">
        <f t="shared" si="5"/>
        <v>5361.7830188679245</v>
      </c>
      <c r="N25" s="10">
        <f t="shared" si="5"/>
        <v>5491.5094339622638</v>
      </c>
      <c r="O25" s="10">
        <f t="shared" si="5"/>
        <v>6387.391698113207</v>
      </c>
      <c r="P25" s="10">
        <f t="shared" si="5"/>
        <v>5307.8488191886781</v>
      </c>
      <c r="Q25" s="10">
        <f t="shared" si="5"/>
        <v>5630.6775283018897</v>
      </c>
      <c r="R25" s="10">
        <f t="shared" si="5"/>
        <v>5319.1610000000001</v>
      </c>
      <c r="S25" s="10">
        <f t="shared" si="5"/>
        <v>6643.6790000000001</v>
      </c>
      <c r="T25" s="10">
        <f t="shared" si="5"/>
        <v>6781.9030000000002</v>
      </c>
      <c r="U25" s="10">
        <f t="shared" si="5"/>
        <v>6133.6310000000012</v>
      </c>
      <c r="V25" s="10">
        <f t="shared" si="5"/>
        <v>5973.6580000000004</v>
      </c>
      <c r="W25" s="10">
        <f t="shared" si="5"/>
        <v>6084.6950000000015</v>
      </c>
      <c r="X25" s="10">
        <f t="shared" si="5"/>
        <v>5837.7160000000003</v>
      </c>
      <c r="Y25" s="10">
        <f t="shared" si="5"/>
        <v>6736.5489999999991</v>
      </c>
      <c r="Z25" s="10">
        <f t="shared" ref="Z25:AC25" si="6">Z19+Z21</f>
        <v>5666.6080000000002</v>
      </c>
      <c r="AA25" s="10">
        <f t="shared" si="6"/>
        <v>5584.7760000000007</v>
      </c>
      <c r="AB25" s="10">
        <f t="shared" si="6"/>
        <v>6304.1453263684562</v>
      </c>
      <c r="AC25" s="10">
        <f t="shared" si="6"/>
        <v>5637.9529999999995</v>
      </c>
      <c r="AD25" s="10">
        <f>AD19+AD21</f>
        <v>4881.902000000001</v>
      </c>
      <c r="AE25" s="10">
        <f>AE19+AE21</f>
        <v>5636.0165193788798</v>
      </c>
    </row>
    <row r="26" spans="1:3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31" x14ac:dyDescent="0.2">
      <c r="A27" s="5" t="s">
        <v>28</v>
      </c>
      <c r="B27" s="10">
        <f t="shared" ref="B27:P27" si="7">B13-B25</f>
        <v>1323.5849056603774</v>
      </c>
      <c r="C27" s="10">
        <f t="shared" si="7"/>
        <v>995.28301886792451</v>
      </c>
      <c r="D27" s="10">
        <f t="shared" si="7"/>
        <v>934.90566037735789</v>
      </c>
      <c r="E27" s="10">
        <f t="shared" si="7"/>
        <v>887.735849056603</v>
      </c>
      <c r="F27" s="10">
        <f t="shared" si="7"/>
        <v>1002.8301886792451</v>
      </c>
      <c r="G27" s="10">
        <f t="shared" si="7"/>
        <v>1460.3773584905666</v>
      </c>
      <c r="H27" s="10">
        <f t="shared" si="7"/>
        <v>1105.660377358492</v>
      </c>
      <c r="I27" s="10">
        <f t="shared" si="7"/>
        <v>1126.4150943396253</v>
      </c>
      <c r="J27" s="10">
        <f t="shared" si="7"/>
        <v>1166.9811320754752</v>
      </c>
      <c r="K27" s="10">
        <f t="shared" si="7"/>
        <v>1854.2358490566075</v>
      </c>
      <c r="L27" s="10">
        <f t="shared" si="7"/>
        <v>1221.2169811320791</v>
      </c>
      <c r="M27" s="10">
        <f t="shared" si="7"/>
        <v>1620.754716981136</v>
      </c>
      <c r="N27" s="10">
        <f t="shared" si="7"/>
        <v>1863.2075471698154</v>
      </c>
      <c r="O27" s="10">
        <f t="shared" si="7"/>
        <v>587.89500000000044</v>
      </c>
      <c r="P27" s="10">
        <f t="shared" si="7"/>
        <v>918.09900000000016</v>
      </c>
      <c r="Q27" s="10">
        <v>759.90599999999995</v>
      </c>
      <c r="R27" s="10">
        <v>965.59299999999996</v>
      </c>
      <c r="S27" s="10">
        <v>1460.3430000000001</v>
      </c>
      <c r="T27" s="10">
        <f t="shared" ref="T27:Z27" si="8">T13-T25</f>
        <v>830.80100000000039</v>
      </c>
      <c r="U27" s="10">
        <f t="shared" si="8"/>
        <v>810.70899999999892</v>
      </c>
      <c r="V27" s="10">
        <f t="shared" si="8"/>
        <v>1036.9743263684586</v>
      </c>
      <c r="W27" s="10">
        <f t="shared" si="8"/>
        <v>1002.3533263684567</v>
      </c>
      <c r="X27" s="10">
        <f t="shared" si="8"/>
        <v>1394.5443263684565</v>
      </c>
      <c r="Y27" s="10">
        <f t="shared" si="8"/>
        <v>1168.752326368457</v>
      </c>
      <c r="Z27" s="10">
        <f t="shared" si="8"/>
        <v>857.51832636845666</v>
      </c>
      <c r="AA27" s="10">
        <f>AA13-AA25</f>
        <v>1052.5423263684561</v>
      </c>
      <c r="AB27" s="10">
        <v>964.27300000000002</v>
      </c>
      <c r="AC27" s="10">
        <f>AC13-AC25</f>
        <v>835.09100000000035</v>
      </c>
      <c r="AD27" s="10">
        <f>AD13-AD25</f>
        <v>1417.9339999999993</v>
      </c>
      <c r="AE27" s="10">
        <f>AE13-AE25</f>
        <v>972.01182024376067</v>
      </c>
    </row>
    <row r="30" spans="1:31" x14ac:dyDescent="0.2">
      <c r="A30" s="12" t="s">
        <v>105</v>
      </c>
      <c r="B30" s="12">
        <f>100*B27/B16</f>
        <v>32.304858392816023</v>
      </c>
      <c r="C30" s="12">
        <f t="shared" ref="C30:AB30" si="9">100*C27/C16</f>
        <v>24.529179260637061</v>
      </c>
      <c r="D30" s="12">
        <f t="shared" si="9"/>
        <v>22.568890913231595</v>
      </c>
      <c r="E30" s="12">
        <f t="shared" si="9"/>
        <v>21.279963817277235</v>
      </c>
      <c r="F30" s="12">
        <f t="shared" si="9"/>
        <v>23.914510686164228</v>
      </c>
      <c r="G30" s="12">
        <f t="shared" si="9"/>
        <v>34.545860299040406</v>
      </c>
      <c r="H30" s="12">
        <f t="shared" si="9"/>
        <v>23.421262989608348</v>
      </c>
      <c r="I30" s="12">
        <f t="shared" si="9"/>
        <v>23.425544437904705</v>
      </c>
      <c r="J30" s="12">
        <f t="shared" si="9"/>
        <v>22.992565055762153</v>
      </c>
      <c r="K30" s="12">
        <f t="shared" si="9"/>
        <v>37.232240954726358</v>
      </c>
      <c r="L30" s="12">
        <f t="shared" si="9"/>
        <v>24.305107022155536</v>
      </c>
      <c r="M30" s="12">
        <f t="shared" si="9"/>
        <v>33.466511086999375</v>
      </c>
      <c r="N30" s="12">
        <f t="shared" si="9"/>
        <v>38.801571709233876</v>
      </c>
      <c r="O30" s="12">
        <f t="shared" si="9"/>
        <v>11.77443837614314</v>
      </c>
      <c r="P30" s="12">
        <f t="shared" si="9"/>
        <v>21.088446155839218</v>
      </c>
      <c r="Q30" s="12">
        <f t="shared" si="9"/>
        <v>19.2382093796353</v>
      </c>
      <c r="R30" s="12">
        <f t="shared" si="9"/>
        <v>23.349254274158408</v>
      </c>
      <c r="S30" s="12">
        <f t="shared" si="9"/>
        <v>34.065507513995655</v>
      </c>
      <c r="T30" s="12">
        <f t="shared" si="9"/>
        <v>20.272967319030194</v>
      </c>
      <c r="U30" s="12">
        <f t="shared" si="9"/>
        <v>18.390463288442355</v>
      </c>
      <c r="V30" s="12">
        <f t="shared" si="9"/>
        <v>23.637775659154862</v>
      </c>
      <c r="W30" s="12">
        <f t="shared" si="9"/>
        <v>22.19932677735671</v>
      </c>
      <c r="X30" s="12">
        <f t="shared" si="9"/>
        <v>32.980667637296001</v>
      </c>
      <c r="Y30" s="12">
        <f t="shared" si="9"/>
        <v>28.562443214150253</v>
      </c>
      <c r="Z30" s="12">
        <f t="shared" si="9"/>
        <v>20.909328515678045</v>
      </c>
      <c r="AA30" s="12">
        <f t="shared" si="9"/>
        <v>26.745294068715648</v>
      </c>
      <c r="AB30" s="12">
        <f t="shared" si="9"/>
        <v>23.444095583984147</v>
      </c>
      <c r="AC30" s="12">
        <f t="shared" ref="AC30:AE30" si="10">100*AC27/AC16</f>
        <v>19.91536771805966</v>
      </c>
      <c r="AD30" s="12">
        <f t="shared" si="10"/>
        <v>34.361212769783201</v>
      </c>
      <c r="AE30" s="12">
        <f t="shared" si="10"/>
        <v>22.990782627790768</v>
      </c>
    </row>
    <row r="31" spans="1:31" x14ac:dyDescent="0.2">
      <c r="A31" s="12" t="s">
        <v>67</v>
      </c>
      <c r="B31" s="12">
        <f>100*B27/B25</f>
        <v>27.727272727272727</v>
      </c>
      <c r="C31" s="12">
        <f t="shared" ref="C31:AB31" si="11">100*C27/C25</f>
        <v>19.693858502893409</v>
      </c>
      <c r="D31" s="12">
        <f t="shared" si="11"/>
        <v>17.756674431105527</v>
      </c>
      <c r="E31" s="12">
        <f t="shared" si="11"/>
        <v>18.549181943623086</v>
      </c>
      <c r="F31" s="12">
        <f t="shared" si="11"/>
        <v>21.720474049856968</v>
      </c>
      <c r="G31" s="12">
        <f t="shared" si="11"/>
        <v>32.398493093344513</v>
      </c>
      <c r="H31" s="12">
        <f t="shared" si="11"/>
        <v>20.93978917277116</v>
      </c>
      <c r="I31" s="12">
        <f t="shared" si="11"/>
        <v>22.656546489563624</v>
      </c>
      <c r="J31" s="12">
        <f t="shared" si="11"/>
        <v>22.034200213751404</v>
      </c>
      <c r="K31" s="12">
        <f t="shared" si="11"/>
        <v>34.551930118783382</v>
      </c>
      <c r="L31" s="12">
        <f t="shared" si="11"/>
        <v>19.869378357636283</v>
      </c>
      <c r="M31" s="12">
        <f t="shared" si="11"/>
        <v>30.227905741014837</v>
      </c>
      <c r="N31" s="12">
        <f t="shared" si="11"/>
        <v>33.92887819962214</v>
      </c>
      <c r="O31" s="12">
        <f t="shared" si="11"/>
        <v>9.2039916727458682</v>
      </c>
      <c r="P31" s="12">
        <f t="shared" si="11"/>
        <v>17.297007342803983</v>
      </c>
      <c r="Q31" s="12">
        <f t="shared" si="11"/>
        <v>13.495818152974103</v>
      </c>
      <c r="R31" s="12">
        <f t="shared" si="11"/>
        <v>18.153107228752805</v>
      </c>
      <c r="S31" s="12">
        <f t="shared" si="11"/>
        <v>21.980938573341671</v>
      </c>
      <c r="T31" s="12">
        <f t="shared" si="11"/>
        <v>12.250263679678113</v>
      </c>
      <c r="U31" s="12">
        <f t="shared" si="11"/>
        <v>13.217440044893452</v>
      </c>
      <c r="V31" s="12">
        <f t="shared" si="11"/>
        <v>17.359117752781604</v>
      </c>
      <c r="W31" s="12">
        <f t="shared" si="11"/>
        <v>16.47335365812841</v>
      </c>
      <c r="X31" s="12">
        <f t="shared" si="11"/>
        <v>23.888526375186057</v>
      </c>
      <c r="Y31" s="12">
        <f t="shared" si="11"/>
        <v>17.349422179938973</v>
      </c>
      <c r="Z31" s="12">
        <f t="shared" si="11"/>
        <v>15.132833017008704</v>
      </c>
      <c r="AA31" s="12">
        <f t="shared" si="11"/>
        <v>18.846634607519729</v>
      </c>
      <c r="AB31" s="12">
        <f t="shared" si="11"/>
        <v>15.295856140351317</v>
      </c>
      <c r="AC31" s="12">
        <f t="shared" ref="AC31:AE31" si="12">100*AC27/AC25</f>
        <v>14.811953913060297</v>
      </c>
      <c r="AD31" s="12">
        <f t="shared" si="12"/>
        <v>29.044704297628243</v>
      </c>
      <c r="AE31" s="12">
        <f t="shared" si="12"/>
        <v>17.246433130591349</v>
      </c>
    </row>
    <row r="32" spans="1:31" x14ac:dyDescent="0.2">
      <c r="A32" s="3" t="s">
        <v>30</v>
      </c>
      <c r="B32" s="16">
        <v>116.39145841999999</v>
      </c>
      <c r="C32" s="16">
        <v>401.7</v>
      </c>
      <c r="D32" s="16">
        <v>409.322</v>
      </c>
      <c r="E32" s="16">
        <v>479.5</v>
      </c>
      <c r="F32" s="16">
        <v>580</v>
      </c>
      <c r="G32" s="16">
        <v>600</v>
      </c>
      <c r="H32" s="16">
        <v>262.5</v>
      </c>
      <c r="I32" s="16">
        <v>130</v>
      </c>
      <c r="J32" s="16">
        <v>135</v>
      </c>
      <c r="K32" s="16">
        <v>355</v>
      </c>
      <c r="L32" s="16">
        <v>667</v>
      </c>
      <c r="M32" s="16">
        <v>698</v>
      </c>
      <c r="N32" s="4">
        <v>782</v>
      </c>
      <c r="O32" s="4">
        <v>653</v>
      </c>
      <c r="P32" s="16">
        <v>1418</v>
      </c>
      <c r="Q32" s="16">
        <v>1635.114</v>
      </c>
      <c r="R32" s="16">
        <v>1720.655</v>
      </c>
      <c r="S32" s="16">
        <v>1565</v>
      </c>
      <c r="T32" s="16">
        <v>1372</v>
      </c>
      <c r="U32" s="16">
        <v>1444.0350000000001</v>
      </c>
      <c r="V32" s="16">
        <v>1481.644</v>
      </c>
      <c r="W32" s="16">
        <v>1521.6759999999999</v>
      </c>
      <c r="X32" s="16">
        <v>1593.04</v>
      </c>
      <c r="Y32" s="16">
        <v>1528.3969999999999</v>
      </c>
      <c r="Z32" s="16">
        <v>1387.7439999999999</v>
      </c>
      <c r="AA32" s="16">
        <v>1319.905</v>
      </c>
      <c r="AB32" s="16">
        <v>1291.0029999999999</v>
      </c>
      <c r="AC32" s="16">
        <v>1392.482</v>
      </c>
      <c r="AD32" s="16">
        <v>1598.67</v>
      </c>
      <c r="AE32" s="16">
        <v>1407</v>
      </c>
    </row>
    <row r="33" spans="1:31" s="22" customFormat="1" x14ac:dyDescent="0.2">
      <c r="A33" s="31" t="s">
        <v>87</v>
      </c>
    </row>
    <row r="34" spans="1:31" x14ac:dyDescent="0.2">
      <c r="A34" s="26" t="s">
        <v>31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P34" s="10"/>
      <c r="Q34" s="10"/>
      <c r="R34" s="10"/>
      <c r="S34" s="10"/>
      <c r="AB34" s="10"/>
      <c r="AC34" s="10"/>
      <c r="AD34" s="10"/>
      <c r="AE34" s="10"/>
    </row>
    <row r="35" spans="1:31" x14ac:dyDescent="0.2">
      <c r="A35" s="26" t="s">
        <v>89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P35" s="10"/>
      <c r="Q35" s="10"/>
      <c r="R35" s="10"/>
      <c r="S35" s="10"/>
      <c r="AB35" s="10"/>
      <c r="AC35" s="10"/>
      <c r="AD35" s="10"/>
      <c r="AE35" s="10"/>
    </row>
    <row r="36" spans="1:31" x14ac:dyDescent="0.2">
      <c r="A36" s="22" t="s">
        <v>99</v>
      </c>
    </row>
    <row r="37" spans="1:31" x14ac:dyDescent="0.2">
      <c r="A37" s="22" t="s">
        <v>106</v>
      </c>
      <c r="E37" s="10"/>
      <c r="F37" s="10"/>
      <c r="G37" s="10"/>
      <c r="H37" s="10"/>
      <c r="I37" s="10"/>
      <c r="J37" s="10"/>
      <c r="K37" s="10"/>
      <c r="L37" s="10"/>
    </row>
    <row r="38" spans="1:31" x14ac:dyDescent="0.2">
      <c r="A38" s="22" t="s">
        <v>80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31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x14ac:dyDescent="0.2">
      <c r="E40" s="10"/>
      <c r="F40" s="10"/>
      <c r="G40" s="10"/>
      <c r="H40" s="10"/>
      <c r="I40" s="10"/>
      <c r="J40" s="10"/>
      <c r="K40" s="10"/>
      <c r="L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x14ac:dyDescent="0.2"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x14ac:dyDescent="0.2">
      <c r="E42" s="18"/>
      <c r="F42" s="18"/>
      <c r="G42" s="18"/>
      <c r="H42" s="18"/>
      <c r="I42" s="18"/>
      <c r="J42" s="18"/>
      <c r="K42" s="18"/>
      <c r="L42" s="18"/>
    </row>
    <row r="43" spans="1:31" x14ac:dyDescent="0.2"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x14ac:dyDescent="0.2"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x14ac:dyDescent="0.2"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x14ac:dyDescent="0.2">
      <c r="S46" s="10"/>
    </row>
    <row r="47" spans="1:31" x14ac:dyDescent="0.2"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</sheetData>
  <pageMargins left="0.75" right="0.75" top="1" bottom="1" header="0.5" footer="0.5"/>
  <pageSetup scale="93" orientation="portrait" r:id="rId1"/>
  <headerFooter alignWithMargins="0"/>
  <ignoredErrors>
    <ignoredError sqref="S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CEEC-EA0F-49F4-9DD7-2E54D2764BAE}">
  <sheetPr>
    <pageSetUpPr fitToPage="1"/>
  </sheetPr>
  <dimension ref="A1:AE4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1.25" x14ac:dyDescent="0.2"/>
  <cols>
    <col min="1" max="1" width="40.42578125" style="5" customWidth="1"/>
    <col min="2" max="11" width="9.140625" style="5" customWidth="1"/>
    <col min="12" max="27" width="8.7109375" style="5" customWidth="1"/>
    <col min="28" max="28" width="9.5703125" style="5" bestFit="1" customWidth="1"/>
    <col min="29" max="30" width="10" style="5" bestFit="1" customWidth="1"/>
    <col min="31" max="32" width="12.42578125" style="5" bestFit="1" customWidth="1"/>
    <col min="33" max="256" width="9.140625" style="5"/>
    <col min="257" max="257" width="26" style="5" customWidth="1"/>
    <col min="258" max="267" width="0" style="5" hidden="1" customWidth="1"/>
    <col min="268" max="283" width="8.7109375" style="5" customWidth="1"/>
    <col min="284" max="284" width="9.5703125" style="5" bestFit="1" customWidth="1"/>
    <col min="285" max="286" width="8.7109375" style="5" customWidth="1"/>
    <col min="287" max="288" width="12.42578125" style="5" bestFit="1" customWidth="1"/>
    <col min="289" max="512" width="9.140625" style="5"/>
    <col min="513" max="513" width="26" style="5" customWidth="1"/>
    <col min="514" max="523" width="0" style="5" hidden="1" customWidth="1"/>
    <col min="524" max="539" width="8.7109375" style="5" customWidth="1"/>
    <col min="540" max="540" width="9.5703125" style="5" bestFit="1" customWidth="1"/>
    <col min="541" max="542" width="8.7109375" style="5" customWidth="1"/>
    <col min="543" max="544" width="12.42578125" style="5" bestFit="1" customWidth="1"/>
    <col min="545" max="768" width="9.140625" style="5"/>
    <col min="769" max="769" width="26" style="5" customWidth="1"/>
    <col min="770" max="779" width="0" style="5" hidden="1" customWidth="1"/>
    <col min="780" max="795" width="8.7109375" style="5" customWidth="1"/>
    <col min="796" max="796" width="9.5703125" style="5" bestFit="1" customWidth="1"/>
    <col min="797" max="798" width="8.7109375" style="5" customWidth="1"/>
    <col min="799" max="800" width="12.42578125" style="5" bestFit="1" customWidth="1"/>
    <col min="801" max="1024" width="9.140625" style="5"/>
    <col min="1025" max="1025" width="26" style="5" customWidth="1"/>
    <col min="1026" max="1035" width="0" style="5" hidden="1" customWidth="1"/>
    <col min="1036" max="1051" width="8.7109375" style="5" customWidth="1"/>
    <col min="1052" max="1052" width="9.5703125" style="5" bestFit="1" customWidth="1"/>
    <col min="1053" max="1054" width="8.7109375" style="5" customWidth="1"/>
    <col min="1055" max="1056" width="12.42578125" style="5" bestFit="1" customWidth="1"/>
    <col min="1057" max="1280" width="9.140625" style="5"/>
    <col min="1281" max="1281" width="26" style="5" customWidth="1"/>
    <col min="1282" max="1291" width="0" style="5" hidden="1" customWidth="1"/>
    <col min="1292" max="1307" width="8.7109375" style="5" customWidth="1"/>
    <col min="1308" max="1308" width="9.5703125" style="5" bestFit="1" customWidth="1"/>
    <col min="1309" max="1310" width="8.7109375" style="5" customWidth="1"/>
    <col min="1311" max="1312" width="12.42578125" style="5" bestFit="1" customWidth="1"/>
    <col min="1313" max="1536" width="9.140625" style="5"/>
    <col min="1537" max="1537" width="26" style="5" customWidth="1"/>
    <col min="1538" max="1547" width="0" style="5" hidden="1" customWidth="1"/>
    <col min="1548" max="1563" width="8.7109375" style="5" customWidth="1"/>
    <col min="1564" max="1564" width="9.5703125" style="5" bestFit="1" customWidth="1"/>
    <col min="1565" max="1566" width="8.7109375" style="5" customWidth="1"/>
    <col min="1567" max="1568" width="12.42578125" style="5" bestFit="1" customWidth="1"/>
    <col min="1569" max="1792" width="9.140625" style="5"/>
    <col min="1793" max="1793" width="26" style="5" customWidth="1"/>
    <col min="1794" max="1803" width="0" style="5" hidden="1" customWidth="1"/>
    <col min="1804" max="1819" width="8.7109375" style="5" customWidth="1"/>
    <col min="1820" max="1820" width="9.5703125" style="5" bestFit="1" customWidth="1"/>
    <col min="1821" max="1822" width="8.7109375" style="5" customWidth="1"/>
    <col min="1823" max="1824" width="12.42578125" style="5" bestFit="1" customWidth="1"/>
    <col min="1825" max="2048" width="9.140625" style="5"/>
    <col min="2049" max="2049" width="26" style="5" customWidth="1"/>
    <col min="2050" max="2059" width="0" style="5" hidden="1" customWidth="1"/>
    <col min="2060" max="2075" width="8.7109375" style="5" customWidth="1"/>
    <col min="2076" max="2076" width="9.5703125" style="5" bestFit="1" customWidth="1"/>
    <col min="2077" max="2078" width="8.7109375" style="5" customWidth="1"/>
    <col min="2079" max="2080" width="12.42578125" style="5" bestFit="1" customWidth="1"/>
    <col min="2081" max="2304" width="9.140625" style="5"/>
    <col min="2305" max="2305" width="26" style="5" customWidth="1"/>
    <col min="2306" max="2315" width="0" style="5" hidden="1" customWidth="1"/>
    <col min="2316" max="2331" width="8.7109375" style="5" customWidth="1"/>
    <col min="2332" max="2332" width="9.5703125" style="5" bestFit="1" customWidth="1"/>
    <col min="2333" max="2334" width="8.7109375" style="5" customWidth="1"/>
    <col min="2335" max="2336" width="12.42578125" style="5" bestFit="1" customWidth="1"/>
    <col min="2337" max="2560" width="9.140625" style="5"/>
    <col min="2561" max="2561" width="26" style="5" customWidth="1"/>
    <col min="2562" max="2571" width="0" style="5" hidden="1" customWidth="1"/>
    <col min="2572" max="2587" width="8.7109375" style="5" customWidth="1"/>
    <col min="2588" max="2588" width="9.5703125" style="5" bestFit="1" customWidth="1"/>
    <col min="2589" max="2590" width="8.7109375" style="5" customWidth="1"/>
    <col min="2591" max="2592" width="12.42578125" style="5" bestFit="1" customWidth="1"/>
    <col min="2593" max="2816" width="9.140625" style="5"/>
    <col min="2817" max="2817" width="26" style="5" customWidth="1"/>
    <col min="2818" max="2827" width="0" style="5" hidden="1" customWidth="1"/>
    <col min="2828" max="2843" width="8.7109375" style="5" customWidth="1"/>
    <col min="2844" max="2844" width="9.5703125" style="5" bestFit="1" customWidth="1"/>
    <col min="2845" max="2846" width="8.7109375" style="5" customWidth="1"/>
    <col min="2847" max="2848" width="12.42578125" style="5" bestFit="1" customWidth="1"/>
    <col min="2849" max="3072" width="9.140625" style="5"/>
    <col min="3073" max="3073" width="26" style="5" customWidth="1"/>
    <col min="3074" max="3083" width="0" style="5" hidden="1" customWidth="1"/>
    <col min="3084" max="3099" width="8.7109375" style="5" customWidth="1"/>
    <col min="3100" max="3100" width="9.5703125" style="5" bestFit="1" customWidth="1"/>
    <col min="3101" max="3102" width="8.7109375" style="5" customWidth="1"/>
    <col min="3103" max="3104" width="12.42578125" style="5" bestFit="1" customWidth="1"/>
    <col min="3105" max="3328" width="9.140625" style="5"/>
    <col min="3329" max="3329" width="26" style="5" customWidth="1"/>
    <col min="3330" max="3339" width="0" style="5" hidden="1" customWidth="1"/>
    <col min="3340" max="3355" width="8.7109375" style="5" customWidth="1"/>
    <col min="3356" max="3356" width="9.5703125" style="5" bestFit="1" customWidth="1"/>
    <col min="3357" max="3358" width="8.7109375" style="5" customWidth="1"/>
    <col min="3359" max="3360" width="12.42578125" style="5" bestFit="1" customWidth="1"/>
    <col min="3361" max="3584" width="9.140625" style="5"/>
    <col min="3585" max="3585" width="26" style="5" customWidth="1"/>
    <col min="3586" max="3595" width="0" style="5" hidden="1" customWidth="1"/>
    <col min="3596" max="3611" width="8.7109375" style="5" customWidth="1"/>
    <col min="3612" max="3612" width="9.5703125" style="5" bestFit="1" customWidth="1"/>
    <col min="3613" max="3614" width="8.7109375" style="5" customWidth="1"/>
    <col min="3615" max="3616" width="12.42578125" style="5" bestFit="1" customWidth="1"/>
    <col min="3617" max="3840" width="9.140625" style="5"/>
    <col min="3841" max="3841" width="26" style="5" customWidth="1"/>
    <col min="3842" max="3851" width="0" style="5" hidden="1" customWidth="1"/>
    <col min="3852" max="3867" width="8.7109375" style="5" customWidth="1"/>
    <col min="3868" max="3868" width="9.5703125" style="5" bestFit="1" customWidth="1"/>
    <col min="3869" max="3870" width="8.7109375" style="5" customWidth="1"/>
    <col min="3871" max="3872" width="12.42578125" style="5" bestFit="1" customWidth="1"/>
    <col min="3873" max="4096" width="9.140625" style="5"/>
    <col min="4097" max="4097" width="26" style="5" customWidth="1"/>
    <col min="4098" max="4107" width="0" style="5" hidden="1" customWidth="1"/>
    <col min="4108" max="4123" width="8.7109375" style="5" customWidth="1"/>
    <col min="4124" max="4124" width="9.5703125" style="5" bestFit="1" customWidth="1"/>
    <col min="4125" max="4126" width="8.7109375" style="5" customWidth="1"/>
    <col min="4127" max="4128" width="12.42578125" style="5" bestFit="1" customWidth="1"/>
    <col min="4129" max="4352" width="9.140625" style="5"/>
    <col min="4353" max="4353" width="26" style="5" customWidth="1"/>
    <col min="4354" max="4363" width="0" style="5" hidden="1" customWidth="1"/>
    <col min="4364" max="4379" width="8.7109375" style="5" customWidth="1"/>
    <col min="4380" max="4380" width="9.5703125" style="5" bestFit="1" customWidth="1"/>
    <col min="4381" max="4382" width="8.7109375" style="5" customWidth="1"/>
    <col min="4383" max="4384" width="12.42578125" style="5" bestFit="1" customWidth="1"/>
    <col min="4385" max="4608" width="9.140625" style="5"/>
    <col min="4609" max="4609" width="26" style="5" customWidth="1"/>
    <col min="4610" max="4619" width="0" style="5" hidden="1" customWidth="1"/>
    <col min="4620" max="4635" width="8.7109375" style="5" customWidth="1"/>
    <col min="4636" max="4636" width="9.5703125" style="5" bestFit="1" customWidth="1"/>
    <col min="4637" max="4638" width="8.7109375" style="5" customWidth="1"/>
    <col min="4639" max="4640" width="12.42578125" style="5" bestFit="1" customWidth="1"/>
    <col min="4641" max="4864" width="9.140625" style="5"/>
    <col min="4865" max="4865" width="26" style="5" customWidth="1"/>
    <col min="4866" max="4875" width="0" style="5" hidden="1" customWidth="1"/>
    <col min="4876" max="4891" width="8.7109375" style="5" customWidth="1"/>
    <col min="4892" max="4892" width="9.5703125" style="5" bestFit="1" customWidth="1"/>
    <col min="4893" max="4894" width="8.7109375" style="5" customWidth="1"/>
    <col min="4895" max="4896" width="12.42578125" style="5" bestFit="1" customWidth="1"/>
    <col min="4897" max="5120" width="9.140625" style="5"/>
    <col min="5121" max="5121" width="26" style="5" customWidth="1"/>
    <col min="5122" max="5131" width="0" style="5" hidden="1" customWidth="1"/>
    <col min="5132" max="5147" width="8.7109375" style="5" customWidth="1"/>
    <col min="5148" max="5148" width="9.5703125" style="5" bestFit="1" customWidth="1"/>
    <col min="5149" max="5150" width="8.7109375" style="5" customWidth="1"/>
    <col min="5151" max="5152" width="12.42578125" style="5" bestFit="1" customWidth="1"/>
    <col min="5153" max="5376" width="9.140625" style="5"/>
    <col min="5377" max="5377" width="26" style="5" customWidth="1"/>
    <col min="5378" max="5387" width="0" style="5" hidden="1" customWidth="1"/>
    <col min="5388" max="5403" width="8.7109375" style="5" customWidth="1"/>
    <col min="5404" max="5404" width="9.5703125" style="5" bestFit="1" customWidth="1"/>
    <col min="5405" max="5406" width="8.7109375" style="5" customWidth="1"/>
    <col min="5407" max="5408" width="12.42578125" style="5" bestFit="1" customWidth="1"/>
    <col min="5409" max="5632" width="9.140625" style="5"/>
    <col min="5633" max="5633" width="26" style="5" customWidth="1"/>
    <col min="5634" max="5643" width="0" style="5" hidden="1" customWidth="1"/>
    <col min="5644" max="5659" width="8.7109375" style="5" customWidth="1"/>
    <col min="5660" max="5660" width="9.5703125" style="5" bestFit="1" customWidth="1"/>
    <col min="5661" max="5662" width="8.7109375" style="5" customWidth="1"/>
    <col min="5663" max="5664" width="12.42578125" style="5" bestFit="1" customWidth="1"/>
    <col min="5665" max="5888" width="9.140625" style="5"/>
    <col min="5889" max="5889" width="26" style="5" customWidth="1"/>
    <col min="5890" max="5899" width="0" style="5" hidden="1" customWidth="1"/>
    <col min="5900" max="5915" width="8.7109375" style="5" customWidth="1"/>
    <col min="5916" max="5916" width="9.5703125" style="5" bestFit="1" customWidth="1"/>
    <col min="5917" max="5918" width="8.7109375" style="5" customWidth="1"/>
    <col min="5919" max="5920" width="12.42578125" style="5" bestFit="1" customWidth="1"/>
    <col min="5921" max="6144" width="9.140625" style="5"/>
    <col min="6145" max="6145" width="26" style="5" customWidth="1"/>
    <col min="6146" max="6155" width="0" style="5" hidden="1" customWidth="1"/>
    <col min="6156" max="6171" width="8.7109375" style="5" customWidth="1"/>
    <col min="6172" max="6172" width="9.5703125" style="5" bestFit="1" customWidth="1"/>
    <col min="6173" max="6174" width="8.7109375" style="5" customWidth="1"/>
    <col min="6175" max="6176" width="12.42578125" style="5" bestFit="1" customWidth="1"/>
    <col min="6177" max="6400" width="9.140625" style="5"/>
    <col min="6401" max="6401" width="26" style="5" customWidth="1"/>
    <col min="6402" max="6411" width="0" style="5" hidden="1" customWidth="1"/>
    <col min="6412" max="6427" width="8.7109375" style="5" customWidth="1"/>
    <col min="6428" max="6428" width="9.5703125" style="5" bestFit="1" customWidth="1"/>
    <col min="6429" max="6430" width="8.7109375" style="5" customWidth="1"/>
    <col min="6431" max="6432" width="12.42578125" style="5" bestFit="1" customWidth="1"/>
    <col min="6433" max="6656" width="9.140625" style="5"/>
    <col min="6657" max="6657" width="26" style="5" customWidth="1"/>
    <col min="6658" max="6667" width="0" style="5" hidden="1" customWidth="1"/>
    <col min="6668" max="6683" width="8.7109375" style="5" customWidth="1"/>
    <col min="6684" max="6684" width="9.5703125" style="5" bestFit="1" customWidth="1"/>
    <col min="6685" max="6686" width="8.7109375" style="5" customWidth="1"/>
    <col min="6687" max="6688" width="12.42578125" style="5" bestFit="1" customWidth="1"/>
    <col min="6689" max="6912" width="9.140625" style="5"/>
    <col min="6913" max="6913" width="26" style="5" customWidth="1"/>
    <col min="6914" max="6923" width="0" style="5" hidden="1" customWidth="1"/>
    <col min="6924" max="6939" width="8.7109375" style="5" customWidth="1"/>
    <col min="6940" max="6940" width="9.5703125" style="5" bestFit="1" customWidth="1"/>
    <col min="6941" max="6942" width="8.7109375" style="5" customWidth="1"/>
    <col min="6943" max="6944" width="12.42578125" style="5" bestFit="1" customWidth="1"/>
    <col min="6945" max="7168" width="9.140625" style="5"/>
    <col min="7169" max="7169" width="26" style="5" customWidth="1"/>
    <col min="7170" max="7179" width="0" style="5" hidden="1" customWidth="1"/>
    <col min="7180" max="7195" width="8.7109375" style="5" customWidth="1"/>
    <col min="7196" max="7196" width="9.5703125" style="5" bestFit="1" customWidth="1"/>
    <col min="7197" max="7198" width="8.7109375" style="5" customWidth="1"/>
    <col min="7199" max="7200" width="12.42578125" style="5" bestFit="1" customWidth="1"/>
    <col min="7201" max="7424" width="9.140625" style="5"/>
    <col min="7425" max="7425" width="26" style="5" customWidth="1"/>
    <col min="7426" max="7435" width="0" style="5" hidden="1" customWidth="1"/>
    <col min="7436" max="7451" width="8.7109375" style="5" customWidth="1"/>
    <col min="7452" max="7452" width="9.5703125" style="5" bestFit="1" customWidth="1"/>
    <col min="7453" max="7454" width="8.7109375" style="5" customWidth="1"/>
    <col min="7455" max="7456" width="12.42578125" style="5" bestFit="1" customWidth="1"/>
    <col min="7457" max="7680" width="9.140625" style="5"/>
    <col min="7681" max="7681" width="26" style="5" customWidth="1"/>
    <col min="7682" max="7691" width="0" style="5" hidden="1" customWidth="1"/>
    <col min="7692" max="7707" width="8.7109375" style="5" customWidth="1"/>
    <col min="7708" max="7708" width="9.5703125" style="5" bestFit="1" customWidth="1"/>
    <col min="7709" max="7710" width="8.7109375" style="5" customWidth="1"/>
    <col min="7711" max="7712" width="12.42578125" style="5" bestFit="1" customWidth="1"/>
    <col min="7713" max="7936" width="9.140625" style="5"/>
    <col min="7937" max="7937" width="26" style="5" customWidth="1"/>
    <col min="7938" max="7947" width="0" style="5" hidden="1" customWidth="1"/>
    <col min="7948" max="7963" width="8.7109375" style="5" customWidth="1"/>
    <col min="7964" max="7964" width="9.5703125" style="5" bestFit="1" customWidth="1"/>
    <col min="7965" max="7966" width="8.7109375" style="5" customWidth="1"/>
    <col min="7967" max="7968" width="12.42578125" style="5" bestFit="1" customWidth="1"/>
    <col min="7969" max="8192" width="9.140625" style="5"/>
    <col min="8193" max="8193" width="26" style="5" customWidth="1"/>
    <col min="8194" max="8203" width="0" style="5" hidden="1" customWidth="1"/>
    <col min="8204" max="8219" width="8.7109375" style="5" customWidth="1"/>
    <col min="8220" max="8220" width="9.5703125" style="5" bestFit="1" customWidth="1"/>
    <col min="8221" max="8222" width="8.7109375" style="5" customWidth="1"/>
    <col min="8223" max="8224" width="12.42578125" style="5" bestFit="1" customWidth="1"/>
    <col min="8225" max="8448" width="9.140625" style="5"/>
    <col min="8449" max="8449" width="26" style="5" customWidth="1"/>
    <col min="8450" max="8459" width="0" style="5" hidden="1" customWidth="1"/>
    <col min="8460" max="8475" width="8.7109375" style="5" customWidth="1"/>
    <col min="8476" max="8476" width="9.5703125" style="5" bestFit="1" customWidth="1"/>
    <col min="8477" max="8478" width="8.7109375" style="5" customWidth="1"/>
    <col min="8479" max="8480" width="12.42578125" style="5" bestFit="1" customWidth="1"/>
    <col min="8481" max="8704" width="9.140625" style="5"/>
    <col min="8705" max="8705" width="26" style="5" customWidth="1"/>
    <col min="8706" max="8715" width="0" style="5" hidden="1" customWidth="1"/>
    <col min="8716" max="8731" width="8.7109375" style="5" customWidth="1"/>
    <col min="8732" max="8732" width="9.5703125" style="5" bestFit="1" customWidth="1"/>
    <col min="8733" max="8734" width="8.7109375" style="5" customWidth="1"/>
    <col min="8735" max="8736" width="12.42578125" style="5" bestFit="1" customWidth="1"/>
    <col min="8737" max="8960" width="9.140625" style="5"/>
    <col min="8961" max="8961" width="26" style="5" customWidth="1"/>
    <col min="8962" max="8971" width="0" style="5" hidden="1" customWidth="1"/>
    <col min="8972" max="8987" width="8.7109375" style="5" customWidth="1"/>
    <col min="8988" max="8988" width="9.5703125" style="5" bestFit="1" customWidth="1"/>
    <col min="8989" max="8990" width="8.7109375" style="5" customWidth="1"/>
    <col min="8991" max="8992" width="12.42578125" style="5" bestFit="1" customWidth="1"/>
    <col min="8993" max="9216" width="9.140625" style="5"/>
    <col min="9217" max="9217" width="26" style="5" customWidth="1"/>
    <col min="9218" max="9227" width="0" style="5" hidden="1" customWidth="1"/>
    <col min="9228" max="9243" width="8.7109375" style="5" customWidth="1"/>
    <col min="9244" max="9244" width="9.5703125" style="5" bestFit="1" customWidth="1"/>
    <col min="9245" max="9246" width="8.7109375" style="5" customWidth="1"/>
    <col min="9247" max="9248" width="12.42578125" style="5" bestFit="1" customWidth="1"/>
    <col min="9249" max="9472" width="9.140625" style="5"/>
    <col min="9473" max="9473" width="26" style="5" customWidth="1"/>
    <col min="9474" max="9483" width="0" style="5" hidden="1" customWidth="1"/>
    <col min="9484" max="9499" width="8.7109375" style="5" customWidth="1"/>
    <col min="9500" max="9500" width="9.5703125" style="5" bestFit="1" customWidth="1"/>
    <col min="9501" max="9502" width="8.7109375" style="5" customWidth="1"/>
    <col min="9503" max="9504" width="12.42578125" style="5" bestFit="1" customWidth="1"/>
    <col min="9505" max="9728" width="9.140625" style="5"/>
    <col min="9729" max="9729" width="26" style="5" customWidth="1"/>
    <col min="9730" max="9739" width="0" style="5" hidden="1" customWidth="1"/>
    <col min="9740" max="9755" width="8.7109375" style="5" customWidth="1"/>
    <col min="9756" max="9756" width="9.5703125" style="5" bestFit="1" customWidth="1"/>
    <col min="9757" max="9758" width="8.7109375" style="5" customWidth="1"/>
    <col min="9759" max="9760" width="12.42578125" style="5" bestFit="1" customWidth="1"/>
    <col min="9761" max="9984" width="9.140625" style="5"/>
    <col min="9985" max="9985" width="26" style="5" customWidth="1"/>
    <col min="9986" max="9995" width="0" style="5" hidden="1" customWidth="1"/>
    <col min="9996" max="10011" width="8.7109375" style="5" customWidth="1"/>
    <col min="10012" max="10012" width="9.5703125" style="5" bestFit="1" customWidth="1"/>
    <col min="10013" max="10014" width="8.7109375" style="5" customWidth="1"/>
    <col min="10015" max="10016" width="12.42578125" style="5" bestFit="1" customWidth="1"/>
    <col min="10017" max="10240" width="9.140625" style="5"/>
    <col min="10241" max="10241" width="26" style="5" customWidth="1"/>
    <col min="10242" max="10251" width="0" style="5" hidden="1" customWidth="1"/>
    <col min="10252" max="10267" width="8.7109375" style="5" customWidth="1"/>
    <col min="10268" max="10268" width="9.5703125" style="5" bestFit="1" customWidth="1"/>
    <col min="10269" max="10270" width="8.7109375" style="5" customWidth="1"/>
    <col min="10271" max="10272" width="12.42578125" style="5" bestFit="1" customWidth="1"/>
    <col min="10273" max="10496" width="9.140625" style="5"/>
    <col min="10497" max="10497" width="26" style="5" customWidth="1"/>
    <col min="10498" max="10507" width="0" style="5" hidden="1" customWidth="1"/>
    <col min="10508" max="10523" width="8.7109375" style="5" customWidth="1"/>
    <col min="10524" max="10524" width="9.5703125" style="5" bestFit="1" customWidth="1"/>
    <col min="10525" max="10526" width="8.7109375" style="5" customWidth="1"/>
    <col min="10527" max="10528" width="12.42578125" style="5" bestFit="1" customWidth="1"/>
    <col min="10529" max="10752" width="9.140625" style="5"/>
    <col min="10753" max="10753" width="26" style="5" customWidth="1"/>
    <col min="10754" max="10763" width="0" style="5" hidden="1" customWidth="1"/>
    <col min="10764" max="10779" width="8.7109375" style="5" customWidth="1"/>
    <col min="10780" max="10780" width="9.5703125" style="5" bestFit="1" customWidth="1"/>
    <col min="10781" max="10782" width="8.7109375" style="5" customWidth="1"/>
    <col min="10783" max="10784" width="12.42578125" style="5" bestFit="1" customWidth="1"/>
    <col min="10785" max="11008" width="9.140625" style="5"/>
    <col min="11009" max="11009" width="26" style="5" customWidth="1"/>
    <col min="11010" max="11019" width="0" style="5" hidden="1" customWidth="1"/>
    <col min="11020" max="11035" width="8.7109375" style="5" customWidth="1"/>
    <col min="11036" max="11036" width="9.5703125" style="5" bestFit="1" customWidth="1"/>
    <col min="11037" max="11038" width="8.7109375" style="5" customWidth="1"/>
    <col min="11039" max="11040" width="12.42578125" style="5" bestFit="1" customWidth="1"/>
    <col min="11041" max="11264" width="9.140625" style="5"/>
    <col min="11265" max="11265" width="26" style="5" customWidth="1"/>
    <col min="11266" max="11275" width="0" style="5" hidden="1" customWidth="1"/>
    <col min="11276" max="11291" width="8.7109375" style="5" customWidth="1"/>
    <col min="11292" max="11292" width="9.5703125" style="5" bestFit="1" customWidth="1"/>
    <col min="11293" max="11294" width="8.7109375" style="5" customWidth="1"/>
    <col min="11295" max="11296" width="12.42578125" style="5" bestFit="1" customWidth="1"/>
    <col min="11297" max="11520" width="9.140625" style="5"/>
    <col min="11521" max="11521" width="26" style="5" customWidth="1"/>
    <col min="11522" max="11531" width="0" style="5" hidden="1" customWidth="1"/>
    <col min="11532" max="11547" width="8.7109375" style="5" customWidth="1"/>
    <col min="11548" max="11548" width="9.5703125" style="5" bestFit="1" customWidth="1"/>
    <col min="11549" max="11550" width="8.7109375" style="5" customWidth="1"/>
    <col min="11551" max="11552" width="12.42578125" style="5" bestFit="1" customWidth="1"/>
    <col min="11553" max="11776" width="9.140625" style="5"/>
    <col min="11777" max="11777" width="26" style="5" customWidth="1"/>
    <col min="11778" max="11787" width="0" style="5" hidden="1" customWidth="1"/>
    <col min="11788" max="11803" width="8.7109375" style="5" customWidth="1"/>
    <col min="11804" max="11804" width="9.5703125" style="5" bestFit="1" customWidth="1"/>
    <col min="11805" max="11806" width="8.7109375" style="5" customWidth="1"/>
    <col min="11807" max="11808" width="12.42578125" style="5" bestFit="1" customWidth="1"/>
    <col min="11809" max="12032" width="9.140625" style="5"/>
    <col min="12033" max="12033" width="26" style="5" customWidth="1"/>
    <col min="12034" max="12043" width="0" style="5" hidden="1" customWidth="1"/>
    <col min="12044" max="12059" width="8.7109375" style="5" customWidth="1"/>
    <col min="12060" max="12060" width="9.5703125" style="5" bestFit="1" customWidth="1"/>
    <col min="12061" max="12062" width="8.7109375" style="5" customWidth="1"/>
    <col min="12063" max="12064" width="12.42578125" style="5" bestFit="1" customWidth="1"/>
    <col min="12065" max="12288" width="9.140625" style="5"/>
    <col min="12289" max="12289" width="26" style="5" customWidth="1"/>
    <col min="12290" max="12299" width="0" style="5" hidden="1" customWidth="1"/>
    <col min="12300" max="12315" width="8.7109375" style="5" customWidth="1"/>
    <col min="12316" max="12316" width="9.5703125" style="5" bestFit="1" customWidth="1"/>
    <col min="12317" max="12318" width="8.7109375" style="5" customWidth="1"/>
    <col min="12319" max="12320" width="12.42578125" style="5" bestFit="1" customWidth="1"/>
    <col min="12321" max="12544" width="9.140625" style="5"/>
    <col min="12545" max="12545" width="26" style="5" customWidth="1"/>
    <col min="12546" max="12555" width="0" style="5" hidden="1" customWidth="1"/>
    <col min="12556" max="12571" width="8.7109375" style="5" customWidth="1"/>
    <col min="12572" max="12572" width="9.5703125" style="5" bestFit="1" customWidth="1"/>
    <col min="12573" max="12574" width="8.7109375" style="5" customWidth="1"/>
    <col min="12575" max="12576" width="12.42578125" style="5" bestFit="1" customWidth="1"/>
    <col min="12577" max="12800" width="9.140625" style="5"/>
    <col min="12801" max="12801" width="26" style="5" customWidth="1"/>
    <col min="12802" max="12811" width="0" style="5" hidden="1" customWidth="1"/>
    <col min="12812" max="12827" width="8.7109375" style="5" customWidth="1"/>
    <col min="12828" max="12828" width="9.5703125" style="5" bestFit="1" customWidth="1"/>
    <col min="12829" max="12830" width="8.7109375" style="5" customWidth="1"/>
    <col min="12831" max="12832" width="12.42578125" style="5" bestFit="1" customWidth="1"/>
    <col min="12833" max="13056" width="9.140625" style="5"/>
    <col min="13057" max="13057" width="26" style="5" customWidth="1"/>
    <col min="13058" max="13067" width="0" style="5" hidden="1" customWidth="1"/>
    <col min="13068" max="13083" width="8.7109375" style="5" customWidth="1"/>
    <col min="13084" max="13084" width="9.5703125" style="5" bestFit="1" customWidth="1"/>
    <col min="13085" max="13086" width="8.7109375" style="5" customWidth="1"/>
    <col min="13087" max="13088" width="12.42578125" style="5" bestFit="1" customWidth="1"/>
    <col min="13089" max="13312" width="9.140625" style="5"/>
    <col min="13313" max="13313" width="26" style="5" customWidth="1"/>
    <col min="13314" max="13323" width="0" style="5" hidden="1" customWidth="1"/>
    <col min="13324" max="13339" width="8.7109375" style="5" customWidth="1"/>
    <col min="13340" max="13340" width="9.5703125" style="5" bestFit="1" customWidth="1"/>
    <col min="13341" max="13342" width="8.7109375" style="5" customWidth="1"/>
    <col min="13343" max="13344" width="12.42578125" style="5" bestFit="1" customWidth="1"/>
    <col min="13345" max="13568" width="9.140625" style="5"/>
    <col min="13569" max="13569" width="26" style="5" customWidth="1"/>
    <col min="13570" max="13579" width="0" style="5" hidden="1" customWidth="1"/>
    <col min="13580" max="13595" width="8.7109375" style="5" customWidth="1"/>
    <col min="13596" max="13596" width="9.5703125" style="5" bestFit="1" customWidth="1"/>
    <col min="13597" max="13598" width="8.7109375" style="5" customWidth="1"/>
    <col min="13599" max="13600" width="12.42578125" style="5" bestFit="1" customWidth="1"/>
    <col min="13601" max="13824" width="9.140625" style="5"/>
    <col min="13825" max="13825" width="26" style="5" customWidth="1"/>
    <col min="13826" max="13835" width="0" style="5" hidden="1" customWidth="1"/>
    <col min="13836" max="13851" width="8.7109375" style="5" customWidth="1"/>
    <col min="13852" max="13852" width="9.5703125" style="5" bestFit="1" customWidth="1"/>
    <col min="13853" max="13854" width="8.7109375" style="5" customWidth="1"/>
    <col min="13855" max="13856" width="12.42578125" style="5" bestFit="1" customWidth="1"/>
    <col min="13857" max="14080" width="9.140625" style="5"/>
    <col min="14081" max="14081" width="26" style="5" customWidth="1"/>
    <col min="14082" max="14091" width="0" style="5" hidden="1" customWidth="1"/>
    <col min="14092" max="14107" width="8.7109375" style="5" customWidth="1"/>
    <col min="14108" max="14108" width="9.5703125" style="5" bestFit="1" customWidth="1"/>
    <col min="14109" max="14110" width="8.7109375" style="5" customWidth="1"/>
    <col min="14111" max="14112" width="12.42578125" style="5" bestFit="1" customWidth="1"/>
    <col min="14113" max="14336" width="9.140625" style="5"/>
    <col min="14337" max="14337" width="26" style="5" customWidth="1"/>
    <col min="14338" max="14347" width="0" style="5" hidden="1" customWidth="1"/>
    <col min="14348" max="14363" width="8.7109375" style="5" customWidth="1"/>
    <col min="14364" max="14364" width="9.5703125" style="5" bestFit="1" customWidth="1"/>
    <col min="14365" max="14366" width="8.7109375" style="5" customWidth="1"/>
    <col min="14367" max="14368" width="12.42578125" style="5" bestFit="1" customWidth="1"/>
    <col min="14369" max="14592" width="9.140625" style="5"/>
    <col min="14593" max="14593" width="26" style="5" customWidth="1"/>
    <col min="14594" max="14603" width="0" style="5" hidden="1" customWidth="1"/>
    <col min="14604" max="14619" width="8.7109375" style="5" customWidth="1"/>
    <col min="14620" max="14620" width="9.5703125" style="5" bestFit="1" customWidth="1"/>
    <col min="14621" max="14622" width="8.7109375" style="5" customWidth="1"/>
    <col min="14623" max="14624" width="12.42578125" style="5" bestFit="1" customWidth="1"/>
    <col min="14625" max="14848" width="9.140625" style="5"/>
    <col min="14849" max="14849" width="26" style="5" customWidth="1"/>
    <col min="14850" max="14859" width="0" style="5" hidden="1" customWidth="1"/>
    <col min="14860" max="14875" width="8.7109375" style="5" customWidth="1"/>
    <col min="14876" max="14876" width="9.5703125" style="5" bestFit="1" customWidth="1"/>
    <col min="14877" max="14878" width="8.7109375" style="5" customWidth="1"/>
    <col min="14879" max="14880" width="12.42578125" style="5" bestFit="1" customWidth="1"/>
    <col min="14881" max="15104" width="9.140625" style="5"/>
    <col min="15105" max="15105" width="26" style="5" customWidth="1"/>
    <col min="15106" max="15115" width="0" style="5" hidden="1" customWidth="1"/>
    <col min="15116" max="15131" width="8.7109375" style="5" customWidth="1"/>
    <col min="15132" max="15132" width="9.5703125" style="5" bestFit="1" customWidth="1"/>
    <col min="15133" max="15134" width="8.7109375" style="5" customWidth="1"/>
    <col min="15135" max="15136" width="12.42578125" style="5" bestFit="1" customWidth="1"/>
    <col min="15137" max="15360" width="9.140625" style="5"/>
    <col min="15361" max="15361" width="26" style="5" customWidth="1"/>
    <col min="15362" max="15371" width="0" style="5" hidden="1" customWidth="1"/>
    <col min="15372" max="15387" width="8.7109375" style="5" customWidth="1"/>
    <col min="15388" max="15388" width="9.5703125" style="5" bestFit="1" customWidth="1"/>
    <col min="15389" max="15390" width="8.7109375" style="5" customWidth="1"/>
    <col min="15391" max="15392" width="12.42578125" style="5" bestFit="1" customWidth="1"/>
    <col min="15393" max="15616" width="9.140625" style="5"/>
    <col min="15617" max="15617" width="26" style="5" customWidth="1"/>
    <col min="15618" max="15627" width="0" style="5" hidden="1" customWidth="1"/>
    <col min="15628" max="15643" width="8.7109375" style="5" customWidth="1"/>
    <col min="15644" max="15644" width="9.5703125" style="5" bestFit="1" customWidth="1"/>
    <col min="15645" max="15646" width="8.7109375" style="5" customWidth="1"/>
    <col min="15647" max="15648" width="12.42578125" style="5" bestFit="1" customWidth="1"/>
    <col min="15649" max="15872" width="9.140625" style="5"/>
    <col min="15873" max="15873" width="26" style="5" customWidth="1"/>
    <col min="15874" max="15883" width="0" style="5" hidden="1" customWidth="1"/>
    <col min="15884" max="15899" width="8.7109375" style="5" customWidth="1"/>
    <col min="15900" max="15900" width="9.5703125" style="5" bestFit="1" customWidth="1"/>
    <col min="15901" max="15902" width="8.7109375" style="5" customWidth="1"/>
    <col min="15903" max="15904" width="12.42578125" style="5" bestFit="1" customWidth="1"/>
    <col min="15905" max="16128" width="9.140625" style="5"/>
    <col min="16129" max="16129" width="26" style="5" customWidth="1"/>
    <col min="16130" max="16139" width="0" style="5" hidden="1" customWidth="1"/>
    <col min="16140" max="16155" width="8.7109375" style="5" customWidth="1"/>
    <col min="16156" max="16156" width="9.5703125" style="5" bestFit="1" customWidth="1"/>
    <col min="16157" max="16158" width="8.7109375" style="5" customWidth="1"/>
    <col min="16159" max="16160" width="12.42578125" style="5" bestFit="1" customWidth="1"/>
    <col min="16161" max="16384" width="9.140625" style="5"/>
  </cols>
  <sheetData>
    <row r="1" spans="1:31" x14ac:dyDescent="0.2">
      <c r="A1" s="3" t="s">
        <v>79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W1" s="4"/>
      <c r="X1" s="4"/>
    </row>
    <row r="2" spans="1:31" x14ac:dyDescent="0.2">
      <c r="V2" s="15"/>
      <c r="Y2" s="15"/>
      <c r="Z2" s="15"/>
      <c r="AA2" s="15"/>
      <c r="AB2" s="15"/>
      <c r="AC2" s="15"/>
      <c r="AD2" s="15"/>
      <c r="AE2" s="15"/>
    </row>
    <row r="3" spans="1:31" x14ac:dyDescent="0.2">
      <c r="A3" s="5" t="s">
        <v>32</v>
      </c>
      <c r="B3" s="34" t="s">
        <v>75</v>
      </c>
      <c r="C3" s="34" t="s">
        <v>74</v>
      </c>
      <c r="D3" s="34" t="s">
        <v>73</v>
      </c>
      <c r="E3" s="34" t="s">
        <v>72</v>
      </c>
      <c r="F3" s="34" t="s">
        <v>71</v>
      </c>
      <c r="G3" s="34" t="s">
        <v>70</v>
      </c>
      <c r="H3" s="34" t="s">
        <v>34</v>
      </c>
      <c r="I3" s="34" t="s">
        <v>35</v>
      </c>
      <c r="J3" s="34" t="s">
        <v>36</v>
      </c>
      <c r="K3" s="34" t="s">
        <v>37</v>
      </c>
      <c r="L3" s="34" t="s">
        <v>0</v>
      </c>
      <c r="M3" s="34" t="s">
        <v>1</v>
      </c>
      <c r="N3" s="34" t="s">
        <v>2</v>
      </c>
      <c r="O3" s="34" t="s">
        <v>3</v>
      </c>
      <c r="P3" s="34" t="s">
        <v>4</v>
      </c>
      <c r="Q3" s="34" t="s">
        <v>5</v>
      </c>
      <c r="R3" s="34" t="s">
        <v>6</v>
      </c>
      <c r="S3" s="34" t="s">
        <v>7</v>
      </c>
      <c r="T3" s="34" t="s">
        <v>8</v>
      </c>
      <c r="U3" s="34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14</v>
      </c>
      <c r="AA3" s="34" t="s">
        <v>15</v>
      </c>
      <c r="AB3" s="35" t="s">
        <v>82</v>
      </c>
      <c r="AC3" s="35" t="s">
        <v>90</v>
      </c>
      <c r="AD3" s="35" t="s">
        <v>91</v>
      </c>
      <c r="AE3" s="35" t="s">
        <v>92</v>
      </c>
    </row>
    <row r="5" spans="1:31" x14ac:dyDescent="0.2">
      <c r="O5" s="5" t="s">
        <v>16</v>
      </c>
    </row>
    <row r="7" spans="1:31" x14ac:dyDescent="0.2">
      <c r="A7" s="5" t="s">
        <v>17</v>
      </c>
      <c r="B7" s="10">
        <f>Table56a!B7*1.06</f>
        <v>1587</v>
      </c>
      <c r="C7" s="10">
        <f>Table56a!C7*1.06</f>
        <v>1403.0000000000002</v>
      </c>
      <c r="D7" s="10">
        <f>Table56a!D7*1.06</f>
        <v>1055</v>
      </c>
      <c r="E7" s="10">
        <f>Table56a!E7*1.06</f>
        <v>990.99999999999943</v>
      </c>
      <c r="F7" s="10">
        <f>Table56a!F7*1.06</f>
        <v>940.9999999999992</v>
      </c>
      <c r="G7" s="10">
        <f>Table56a!G7*1.06</f>
        <v>1062.9999999999998</v>
      </c>
      <c r="H7" s="10">
        <f>Table56a!H7*1.06</f>
        <v>1548.0000000000007</v>
      </c>
      <c r="I7" s="10">
        <f>Table56a!I7*1.06</f>
        <v>1172.0000000000016</v>
      </c>
      <c r="J7" s="10">
        <f>Table56a!J7*1.06</f>
        <v>1194.000000000003</v>
      </c>
      <c r="K7" s="10">
        <f>Table56a!K7*1.06</f>
        <v>1237.0000000000039</v>
      </c>
      <c r="L7" s="10">
        <f>Table56a!L7*1.06</f>
        <v>1965.4900000000041</v>
      </c>
      <c r="M7" s="10">
        <f>Table56a!M7*1.06</f>
        <v>1294.4900000000039</v>
      </c>
      <c r="N7" s="10">
        <f>Table56a!N7*1.06</f>
        <v>1718.0000000000043</v>
      </c>
      <c r="O7" s="10">
        <f>Table56a!O7*1.06</f>
        <v>1975</v>
      </c>
      <c r="P7" s="10">
        <f>Table56a!P7*1.06</f>
        <v>623.16870000000006</v>
      </c>
      <c r="Q7" s="10">
        <f>Table56a!Q7*1.06</f>
        <v>973.00000000000341</v>
      </c>
      <c r="R7" s="10">
        <f>Table56a!R7*1.06</f>
        <v>805.50036</v>
      </c>
      <c r="S7" s="10">
        <f>Table56a!S7*1.06</f>
        <v>1023.52858</v>
      </c>
      <c r="T7" s="10">
        <f>Table56a!T7*1.06</f>
        <v>1547.6000000000001</v>
      </c>
      <c r="U7" s="10">
        <f>Table56a!U7*1.06</f>
        <v>881.01264000000003</v>
      </c>
      <c r="V7" s="10">
        <f>Table56a!V7*1.06</f>
        <v>859.35082595056656</v>
      </c>
      <c r="W7" s="10">
        <f>Table56a!W7*1.06</f>
        <v>1099.1927859505661</v>
      </c>
      <c r="X7" s="10">
        <f>Table56a!X7*1.06</f>
        <v>1062.4945259505641</v>
      </c>
      <c r="Y7" s="10">
        <f>Table56a!Y7*1.06</f>
        <v>1478.2169859505639</v>
      </c>
      <c r="Z7" s="10">
        <f>Table56a!Z7*1.06</f>
        <v>1238.8774659505646</v>
      </c>
      <c r="AA7" s="10">
        <f>Table56a!AA7*1.06</f>
        <v>908.96942595056407</v>
      </c>
      <c r="AB7" s="10">
        <f>Table56a!AB7*1.06</f>
        <v>1115.6948659505636</v>
      </c>
      <c r="AC7" s="10">
        <f>Table56a!AC7*1.06</f>
        <v>1022.1293800000001</v>
      </c>
      <c r="AD7" s="10">
        <f>Table56a!AD7*1.06</f>
        <v>885.19646000000046</v>
      </c>
      <c r="AE7" s="10">
        <f>Table56a!AE7*1.06</f>
        <v>1503.0100399999992</v>
      </c>
    </row>
    <row r="8" spans="1:31" x14ac:dyDescent="0.2">
      <c r="A8" s="5" t="s">
        <v>18</v>
      </c>
      <c r="B8" s="10">
        <f>Table56a!B8*1.06</f>
        <v>4642</v>
      </c>
      <c r="C8" s="10">
        <f>Table56a!C8*1.06</f>
        <v>4818</v>
      </c>
      <c r="D8" s="10">
        <f>Table56a!D8*1.06</f>
        <v>5486</v>
      </c>
      <c r="E8" s="10">
        <f>Table56a!E8*1.06</f>
        <v>4982</v>
      </c>
      <c r="F8" s="10">
        <f>Table56a!F8*1.06</f>
        <v>4979</v>
      </c>
      <c r="G8" s="10">
        <f>Table56a!G8*1.06</f>
        <v>5220</v>
      </c>
      <c r="H8" s="10">
        <f>Table56a!H8*1.06</f>
        <v>5169</v>
      </c>
      <c r="I8" s="10">
        <f>Table56a!I8*1.06</f>
        <v>5229</v>
      </c>
      <c r="J8" s="10">
        <f>Table56a!J8*1.06</f>
        <v>5330</v>
      </c>
      <c r="K8" s="10">
        <f>Table56a!K8*1.06</f>
        <v>6149</v>
      </c>
      <c r="L8" s="10">
        <f>Table56a!L8*1.06</f>
        <v>5604</v>
      </c>
      <c r="M8" s="10">
        <f>Table56a!M8*1.06</f>
        <v>5633</v>
      </c>
      <c r="N8" s="10">
        <f>Table56a!N8*1.06</f>
        <v>5852</v>
      </c>
      <c r="O8" s="10">
        <f>Table56a!O8*1.06</f>
        <v>5260</v>
      </c>
      <c r="P8" s="10">
        <f>Table56a!P8*1.06</f>
        <v>5115</v>
      </c>
      <c r="Q8" s="10">
        <f>Table56a!Q8*1.06</f>
        <v>5494.51</v>
      </c>
      <c r="R8" s="10">
        <f>Table56a!R8*1.06</f>
        <v>5351.3771400000005</v>
      </c>
      <c r="S8" s="10">
        <f>Table56a!S8*1.06</f>
        <v>7393.28694</v>
      </c>
      <c r="T8" s="10">
        <f>Table56a!T8*1.06</f>
        <v>6382.5695200000009</v>
      </c>
      <c r="U8" s="10">
        <f>Table56a!U8*1.06</f>
        <v>6344.0586600000006</v>
      </c>
      <c r="V8" s="10">
        <f>Table56a!V8*1.06</f>
        <v>6484.0708800000002</v>
      </c>
      <c r="W8" s="10">
        <f>Table56a!W8*1.06</f>
        <v>6314.6002000000008</v>
      </c>
      <c r="X8" s="10">
        <f>Table56a!X8*1.06</f>
        <v>6370.0912000000008</v>
      </c>
      <c r="Y8" s="10">
        <f>Table56a!Y8*1.06</f>
        <v>6811.4741400000003</v>
      </c>
      <c r="Z8" s="10">
        <f>Table56a!Z8*1.06</f>
        <v>5595.0191999999997</v>
      </c>
      <c r="AA8" s="10">
        <f>Table56a!AA8*1.06</f>
        <v>6057.9000000000005</v>
      </c>
      <c r="AB8" s="10">
        <f>Table56a!AB8*1.06</f>
        <v>6556.1530000000002</v>
      </c>
      <c r="AC8" s="10">
        <f>Table56a!AC8*1.06</f>
        <v>5537.7028799999998</v>
      </c>
      <c r="AD8" s="10">
        <f>Table56a!AD8*1.06</f>
        <v>4985.7598200000002</v>
      </c>
      <c r="AE8" s="10">
        <f>Table56a!AE8*1.06</f>
        <v>5400</v>
      </c>
    </row>
    <row r="9" spans="1:31" x14ac:dyDescent="0.2">
      <c r="A9" s="5" t="s">
        <v>19</v>
      </c>
      <c r="B9" s="10">
        <f>Table56a!B9*1.06</f>
        <v>234</v>
      </c>
      <c r="C9" s="10">
        <f>Table56a!C9*1.06</f>
        <v>191</v>
      </c>
      <c r="D9" s="10">
        <f>Table56a!D9*1.06</f>
        <v>31</v>
      </c>
      <c r="E9" s="10">
        <f>Table56a!E9*1.06</f>
        <v>41</v>
      </c>
      <c r="F9" s="10">
        <f>Table56a!F9*1.06</f>
        <v>37</v>
      </c>
      <c r="G9" s="10">
        <f>Table56a!G9*1.06</f>
        <v>43</v>
      </c>
      <c r="H9" s="10">
        <f>Table56a!H9*1.06</f>
        <v>52</v>
      </c>
      <c r="I9" s="10">
        <f>Table56a!I9*1.06</f>
        <v>63</v>
      </c>
      <c r="J9" s="10">
        <f>Table56a!J9*1.06</f>
        <v>327</v>
      </c>
      <c r="K9" s="10">
        <f>Table56a!K9*1.06</f>
        <v>268</v>
      </c>
      <c r="L9" s="10">
        <f>Table56a!L9*1.06</f>
        <v>240</v>
      </c>
      <c r="M9" s="10">
        <f>Table56a!M9*1.06</f>
        <v>474</v>
      </c>
      <c r="N9" s="10">
        <f>Table56a!N9*1.06</f>
        <v>226</v>
      </c>
      <c r="O9" s="10">
        <f>Table56a!O9*1.06</f>
        <v>158.8039</v>
      </c>
      <c r="P9" s="10">
        <f>Table56a!P9*1.06</f>
        <v>861.33598834000009</v>
      </c>
      <c r="Q9" s="10">
        <f>Table56a!Q9*1.06</f>
        <v>306.50853999999998</v>
      </c>
      <c r="R9" s="10">
        <f>Table56a!R9*1.06</f>
        <v>504.96174000000002</v>
      </c>
      <c r="S9" s="10">
        <f>Table56a!S9*1.06</f>
        <v>229.66808000000003</v>
      </c>
      <c r="T9" s="10">
        <f>Table56a!T9*1.06</f>
        <v>139.29672000000002</v>
      </c>
      <c r="U9" s="10">
        <f>Table56a!U9*1.06</f>
        <v>135.92910000000001</v>
      </c>
      <c r="V9" s="10">
        <f>Table56a!V9*1.06</f>
        <v>87.848560000000006</v>
      </c>
      <c r="W9" s="10">
        <f>Table56a!W9*1.06</f>
        <v>98.47824</v>
      </c>
      <c r="X9" s="10">
        <f>Table56a!X9*1.06</f>
        <v>233.61022</v>
      </c>
      <c r="Y9" s="10">
        <f>Table56a!Y9*1.06</f>
        <v>89.928280000000001</v>
      </c>
      <c r="Z9" s="10">
        <f>Table56a!Z9*1.06</f>
        <v>81.677240000000012</v>
      </c>
      <c r="AA9" s="10">
        <f>Table56a!AA9*1.06</f>
        <v>68.688000000000002</v>
      </c>
      <c r="AB9" s="10">
        <f>Table56a!AB9*1.06</f>
        <v>32.675560000000004</v>
      </c>
      <c r="AC9" s="10">
        <f>Table56a!AC9*1.06</f>
        <v>301.59438</v>
      </c>
      <c r="AD9" s="10">
        <f>Table56a!AD9*1.06</f>
        <v>806.86987999999997</v>
      </c>
      <c r="AE9" s="10">
        <f>Table56a!AE9*1.06</f>
        <v>101.5</v>
      </c>
    </row>
    <row r="10" spans="1:31" x14ac:dyDescent="0.2">
      <c r="A10" s="5" t="s">
        <v>85</v>
      </c>
      <c r="B10" s="10"/>
      <c r="C10" s="11" t="s">
        <v>84</v>
      </c>
      <c r="D10" s="11" t="s">
        <v>84</v>
      </c>
      <c r="E10" s="11" t="s">
        <v>84</v>
      </c>
      <c r="F10" s="11" t="s">
        <v>84</v>
      </c>
      <c r="G10" s="11" t="s">
        <v>84</v>
      </c>
      <c r="H10" s="11" t="s">
        <v>84</v>
      </c>
      <c r="I10" s="11" t="s">
        <v>84</v>
      </c>
      <c r="J10" s="11" t="s">
        <v>84</v>
      </c>
      <c r="K10" s="11" t="s">
        <v>84</v>
      </c>
      <c r="L10" s="11" t="s">
        <v>84</v>
      </c>
      <c r="M10" s="11" t="s">
        <v>84</v>
      </c>
      <c r="N10" s="11" t="s">
        <v>84</v>
      </c>
      <c r="O10" s="11" t="s">
        <v>84</v>
      </c>
      <c r="P10" s="11" t="s">
        <v>84</v>
      </c>
      <c r="Q10" s="11" t="s">
        <v>84</v>
      </c>
      <c r="R10" s="11" t="s">
        <v>84</v>
      </c>
      <c r="S10" s="11" t="s">
        <v>84</v>
      </c>
      <c r="T10" s="10">
        <f>Table56a!T10*1.06</f>
        <v>9.2230600000000003</v>
      </c>
      <c r="U10" s="10">
        <f>Table56a!U10*1.06</f>
        <v>7.9701400000000007</v>
      </c>
      <c r="V10" s="10">
        <f>Table56a!V10*1.06</f>
        <v>17.549360000000004</v>
      </c>
      <c r="W10" s="10">
        <f>Table56a!W10*1.06</f>
        <v>51.293400000000005</v>
      </c>
      <c r="X10" s="10">
        <f>Table56a!X10*1.06</f>
        <v>140.28358</v>
      </c>
      <c r="Y10" s="10">
        <f>Table56a!Y10*1.06</f>
        <v>22.971260000000001</v>
      </c>
      <c r="Z10" s="10">
        <f>Table56a!Z10*1.06</f>
        <v>57.818760000000005</v>
      </c>
      <c r="AA10" s="10">
        <f>Table56a!AA10*1.06</f>
        <v>33.708000000000006</v>
      </c>
      <c r="AB10" s="10">
        <f>Table56a!AB10*1.06</f>
        <v>7.2769000000000004</v>
      </c>
      <c r="AC10" s="10">
        <f>Table56a!AC10*1.06</f>
        <v>282.50378000000001</v>
      </c>
      <c r="AD10" s="10">
        <f>Table56a!AD10*1.06</f>
        <v>764.81544000000008</v>
      </c>
      <c r="AE10" s="10">
        <f>Table56a!AE10*1.06</f>
        <v>26.5</v>
      </c>
    </row>
    <row r="11" spans="1:31" x14ac:dyDescent="0.2">
      <c r="A11" s="5" t="s">
        <v>86</v>
      </c>
      <c r="B11" s="10"/>
      <c r="C11" s="11" t="s">
        <v>84</v>
      </c>
      <c r="D11" s="11" t="s">
        <v>84</v>
      </c>
      <c r="E11" s="11" t="s">
        <v>84</v>
      </c>
      <c r="F11" s="11" t="s">
        <v>84</v>
      </c>
      <c r="G11" s="11" t="s">
        <v>84</v>
      </c>
      <c r="H11" s="11" t="s">
        <v>84</v>
      </c>
      <c r="I11" s="11" t="s">
        <v>84</v>
      </c>
      <c r="J11" s="11" t="s">
        <v>84</v>
      </c>
      <c r="K11" s="11" t="s">
        <v>84</v>
      </c>
      <c r="L11" s="11" t="s">
        <v>84</v>
      </c>
      <c r="M11" s="11" t="s">
        <v>84</v>
      </c>
      <c r="N11" s="11" t="s">
        <v>84</v>
      </c>
      <c r="O11" s="11" t="s">
        <v>84</v>
      </c>
      <c r="P11" s="11" t="s">
        <v>84</v>
      </c>
      <c r="Q11" s="11" t="s">
        <v>84</v>
      </c>
      <c r="R11" s="11" t="s">
        <v>84</v>
      </c>
      <c r="S11" s="11" t="s">
        <v>84</v>
      </c>
      <c r="T11" s="10">
        <f>Table56a!T11*1.06</f>
        <v>130.07366000000002</v>
      </c>
      <c r="U11" s="10">
        <f>Table56a!U11*1.06</f>
        <v>127.95896</v>
      </c>
      <c r="V11" s="10">
        <f>Table56a!V11*1.06</f>
        <v>70.299200000000013</v>
      </c>
      <c r="W11" s="10">
        <f>Table56a!W11*1.06</f>
        <v>47.184840000000001</v>
      </c>
      <c r="X11" s="10">
        <f>Table56a!X11*1.06</f>
        <v>93.326639999999998</v>
      </c>
      <c r="Y11" s="10">
        <f>Table56a!Y11*1.06</f>
        <v>66.95702</v>
      </c>
      <c r="Z11" s="10">
        <f>Table56a!Z11*1.06</f>
        <v>23.85848</v>
      </c>
      <c r="AA11" s="10">
        <f>Table56a!AA11*1.06</f>
        <v>34.980000000000004</v>
      </c>
      <c r="AB11" s="10">
        <f>Table56a!AB11*1.06</f>
        <v>25.39866</v>
      </c>
      <c r="AC11" s="10">
        <f>Table56a!AC11*1.06</f>
        <v>19.090600000000002</v>
      </c>
      <c r="AD11" s="10">
        <f>Table56a!AD11*1.06</f>
        <v>42.05444</v>
      </c>
      <c r="AE11" s="10">
        <f>Table56a!AE11*1.06</f>
        <v>75</v>
      </c>
    </row>
    <row r="12" spans="1:3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31" x14ac:dyDescent="0.2">
      <c r="A13" s="5" t="s">
        <v>20</v>
      </c>
      <c r="B13" s="10">
        <f>B7+B8+B9</f>
        <v>6463</v>
      </c>
      <c r="C13" s="10">
        <f t="shared" ref="C13:AB13" si="0">C7+C8+C9</f>
        <v>6412</v>
      </c>
      <c r="D13" s="10">
        <f t="shared" si="0"/>
        <v>6572</v>
      </c>
      <c r="E13" s="10">
        <f t="shared" si="0"/>
        <v>6013.9999999999991</v>
      </c>
      <c r="F13" s="10">
        <f t="shared" si="0"/>
        <v>5956.9999999999991</v>
      </c>
      <c r="G13" s="10">
        <f t="shared" si="0"/>
        <v>6326</v>
      </c>
      <c r="H13" s="10">
        <f t="shared" si="0"/>
        <v>6769.0000000000009</v>
      </c>
      <c r="I13" s="10">
        <f t="shared" si="0"/>
        <v>6464.0000000000018</v>
      </c>
      <c r="J13" s="10">
        <f t="shared" si="0"/>
        <v>6851.0000000000027</v>
      </c>
      <c r="K13" s="10">
        <f t="shared" si="0"/>
        <v>7654.0000000000036</v>
      </c>
      <c r="L13" s="10">
        <f t="shared" si="0"/>
        <v>7809.4900000000043</v>
      </c>
      <c r="M13" s="10">
        <f t="shared" si="0"/>
        <v>7401.4900000000034</v>
      </c>
      <c r="N13" s="10">
        <f t="shared" si="0"/>
        <v>7796.0000000000045</v>
      </c>
      <c r="O13" s="10">
        <f t="shared" si="0"/>
        <v>7393.8038999999999</v>
      </c>
      <c r="P13" s="10">
        <f t="shared" si="0"/>
        <v>6599.50468834</v>
      </c>
      <c r="Q13" s="10">
        <f t="shared" si="0"/>
        <v>6774.0185400000037</v>
      </c>
      <c r="R13" s="10">
        <f t="shared" si="0"/>
        <v>6661.8392400000002</v>
      </c>
      <c r="S13" s="10">
        <f t="shared" si="0"/>
        <v>8646.4835999999996</v>
      </c>
      <c r="T13" s="10">
        <f t="shared" si="0"/>
        <v>8069.4662400000016</v>
      </c>
      <c r="U13" s="10">
        <f t="shared" si="0"/>
        <v>7361.0004000000008</v>
      </c>
      <c r="V13" s="10">
        <f t="shared" si="0"/>
        <v>7431.2702659505667</v>
      </c>
      <c r="W13" s="10">
        <f t="shared" si="0"/>
        <v>7512.271225950567</v>
      </c>
      <c r="X13" s="10">
        <f t="shared" si="0"/>
        <v>7666.1959459505642</v>
      </c>
      <c r="Y13" s="10">
        <f t="shared" si="0"/>
        <v>8379.6194059505651</v>
      </c>
      <c r="Z13" s="10">
        <f t="shared" si="0"/>
        <v>6915.573905950564</v>
      </c>
      <c r="AA13" s="10">
        <f t="shared" si="0"/>
        <v>7035.5574259505647</v>
      </c>
      <c r="AB13" s="10">
        <f t="shared" si="0"/>
        <v>7704.5234259505633</v>
      </c>
      <c r="AC13" s="10">
        <f t="shared" ref="AC13:AD13" si="1">AC7+AC8+AC9</f>
        <v>6861.4266399999997</v>
      </c>
      <c r="AD13" s="10">
        <f t="shared" si="1"/>
        <v>6677.8261600000005</v>
      </c>
      <c r="AE13" s="10">
        <f t="shared" ref="AE13" si="2">AE7+AE8+AE9</f>
        <v>7004.5100399999992</v>
      </c>
    </row>
    <row r="14" spans="1:3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31" x14ac:dyDescent="0.2">
      <c r="A15" s="5" t="s">
        <v>21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31" x14ac:dyDescent="0.2">
      <c r="A16" s="5" t="s">
        <v>22</v>
      </c>
      <c r="B16" s="10">
        <f>Table56a!B16*1.06</f>
        <v>4343</v>
      </c>
      <c r="C16" s="10">
        <f>Table56a!C16*1.06</f>
        <v>4301</v>
      </c>
      <c r="D16" s="10">
        <f>Table56a!D16*1.06</f>
        <v>4391</v>
      </c>
      <c r="E16" s="10">
        <f>Table56a!E16*1.06</f>
        <v>4422</v>
      </c>
      <c r="F16" s="10">
        <f>Table56a!F16*1.06</f>
        <v>4445</v>
      </c>
      <c r="G16" s="10">
        <f>Table56a!G16*1.06</f>
        <v>4481</v>
      </c>
      <c r="H16" s="10">
        <f>Table56a!H16*1.06</f>
        <v>5004</v>
      </c>
      <c r="I16" s="10">
        <f>Table56a!I16*1.06</f>
        <v>5097</v>
      </c>
      <c r="J16" s="10">
        <f>Table56a!J16*1.06</f>
        <v>5380</v>
      </c>
      <c r="K16" s="10">
        <f>Table56a!K16*1.06</f>
        <v>5279</v>
      </c>
      <c r="L16" s="10">
        <f>Table56a!L16*1.06</f>
        <v>5326</v>
      </c>
      <c r="M16" s="10">
        <f>Table56a!M16*1.06</f>
        <v>5133.49</v>
      </c>
      <c r="N16" s="10">
        <f>Table56a!N16*1.06</f>
        <v>5090.0000000000009</v>
      </c>
      <c r="O16" s="10">
        <f>Table56a!O16*1.06</f>
        <v>5292.5556200000001</v>
      </c>
      <c r="P16" s="10">
        <f>Table56a!P16*1.06</f>
        <v>4614.7778400000007</v>
      </c>
      <c r="Q16" s="10">
        <f>Table56a!Q16*1.06</f>
        <v>4186.9819800000005</v>
      </c>
      <c r="R16" s="10">
        <f>Table56a!R16*1.06</f>
        <v>4383.5600400000003</v>
      </c>
      <c r="S16" s="10">
        <f>Table56a!S16*1.06</f>
        <v>4544.0790200000001</v>
      </c>
      <c r="T16" s="10">
        <f>Table56a!T16*1.06</f>
        <v>4343.9573800000007</v>
      </c>
      <c r="U16" s="10">
        <f>Table56a!U16*1.06</f>
        <v>4672.8107200000004</v>
      </c>
      <c r="V16" s="10">
        <f>Table56a!V16*1.06</f>
        <v>4650.1532200000001</v>
      </c>
      <c r="W16" s="10">
        <f>Table56a!W16*1.06</f>
        <v>4786.1565200000005</v>
      </c>
      <c r="X16" s="10">
        <f>Table56a!X16*1.06</f>
        <v>4482.07114</v>
      </c>
      <c r="Y16" s="10">
        <f>Table56a!Y16*1.06</f>
        <v>4337.4351999999999</v>
      </c>
      <c r="Z16" s="10">
        <f>Table56a!Z16*1.06</f>
        <v>4347.1956799999998</v>
      </c>
      <c r="AA16" s="10">
        <f>Table56a!AA16*1.06</f>
        <v>4171.5558000000001</v>
      </c>
      <c r="AB16" s="10">
        <f>Table56a!AB16*1.06</f>
        <v>4359.85844</v>
      </c>
      <c r="AC16" s="10">
        <f>Table56a!AC16*1.06</f>
        <v>4444.7909399999999</v>
      </c>
      <c r="AD16" s="10">
        <f>Table56a!AD16*1.06</f>
        <v>4374.1472400000002</v>
      </c>
      <c r="AE16" s="10">
        <f>Table56a!AE16*1.06</f>
        <v>4481.5026358125897</v>
      </c>
    </row>
    <row r="17" spans="1:31" x14ac:dyDescent="0.2">
      <c r="A17" s="5" t="s">
        <v>23</v>
      </c>
      <c r="B17" s="10">
        <f>Table56a!B17*1.06</f>
        <v>71</v>
      </c>
      <c r="C17" s="10">
        <f>Table56a!C17*1.06</f>
        <v>90</v>
      </c>
      <c r="D17" s="10">
        <f>Table56a!D17*1.06</f>
        <v>113.99999999999999</v>
      </c>
      <c r="E17" s="10">
        <f>Table56a!E17*1.06</f>
        <v>127</v>
      </c>
      <c r="F17" s="10">
        <f>Table56a!F17*1.06</f>
        <v>131</v>
      </c>
      <c r="G17" s="10">
        <f>Table56a!G17*1.06</f>
        <v>142</v>
      </c>
      <c r="H17" s="10">
        <f>Table56a!H17*1.06</f>
        <v>180</v>
      </c>
      <c r="I17" s="10">
        <f>Table56a!I17*1.06</f>
        <v>135</v>
      </c>
      <c r="J17" s="10">
        <f>Table56a!J17*1.06</f>
        <v>220</v>
      </c>
      <c r="K17" s="10">
        <f>Table56a!K17*1.06</f>
        <v>282</v>
      </c>
      <c r="L17" s="10">
        <f>Table56a!L17*1.06</f>
        <v>323</v>
      </c>
      <c r="M17" s="10">
        <f>Table56a!M17*1.06</f>
        <v>390</v>
      </c>
      <c r="N17" s="10">
        <f>Table56a!N17*1.06</f>
        <v>414</v>
      </c>
      <c r="O17" s="10">
        <f>Table56a!O17*1.06</f>
        <v>387.82644000000005</v>
      </c>
      <c r="P17" s="10">
        <f>Table56a!P17*1.06</f>
        <v>286.93799868720328</v>
      </c>
      <c r="Q17" s="10">
        <f>Table56a!Q17*1.06</f>
        <v>310.34574000000003</v>
      </c>
      <c r="R17" s="10">
        <f>Table56a!R17*1.06</f>
        <v>364.51704000000001</v>
      </c>
      <c r="S17" s="10">
        <f>Table56a!S17*1.06</f>
        <v>407.04</v>
      </c>
      <c r="T17" s="10">
        <f>Table56a!T17*1.06</f>
        <v>343.25556000000006</v>
      </c>
      <c r="U17" s="10">
        <f>Table56a!U17*1.06</f>
        <v>357.00482000000005</v>
      </c>
      <c r="V17" s="10">
        <f>Table56a!V17*1.06</f>
        <v>413.38728000000003</v>
      </c>
      <c r="W17" s="10">
        <f>Table56a!W17*1.06</f>
        <v>420.35360000000003</v>
      </c>
      <c r="X17" s="10">
        <f>Table56a!X17*1.06</f>
        <v>510.48964000000001</v>
      </c>
      <c r="Y17" s="10">
        <f>Table56a!Y17*1.06</f>
        <v>487.52156000000008</v>
      </c>
      <c r="Z17" s="10">
        <f>Table56a!Z17*1.06</f>
        <v>373.39242000000002</v>
      </c>
      <c r="AA17" s="10">
        <f>Table56a!AA17*1.06</f>
        <v>513.65374000000008</v>
      </c>
      <c r="AB17" s="10">
        <f>Table56a!AB17*1.06</f>
        <v>563.76841999999999</v>
      </c>
      <c r="AC17" s="10">
        <f>Table56a!AC17*1.06</f>
        <v>429.0403</v>
      </c>
      <c r="AD17" s="10">
        <f>Table56a!AD17*1.06</f>
        <v>322.31738000000001</v>
      </c>
      <c r="AE17" s="10">
        <f>Table56a!AE17*1.06</f>
        <v>426.50000000000006</v>
      </c>
    </row>
    <row r="18" spans="1:31" x14ac:dyDescent="0.2">
      <c r="A18" s="5" t="s">
        <v>24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f>Table56a!N18*1.06</f>
        <v>-360</v>
      </c>
      <c r="O18" s="10">
        <f>Table56a!O18*1.06</f>
        <v>-288.03411999999975</v>
      </c>
      <c r="P18" s="10">
        <f>Table56a!P18*1.06</f>
        <v>-26.826910347204567</v>
      </c>
      <c r="Q18" s="10">
        <f>Table56a!Q18*1.06</f>
        <v>-86.351279999997061</v>
      </c>
      <c r="R18" s="10">
        <f>Table56a!R18*1.06</f>
        <v>-94.679200000000293</v>
      </c>
      <c r="S18" s="10">
        <f>Table56a!S18*1.06</f>
        <v>56.017819999999261</v>
      </c>
      <c r="T18" s="10">
        <f>Table56a!T18*1.06</f>
        <v>-160.2709399999996</v>
      </c>
      <c r="U18" s="10">
        <f>Table56a!U18*1.06</f>
        <v>-56.992548273932464</v>
      </c>
      <c r="V18" s="10">
        <f>Table56a!V18*1.06</f>
        <v>-10.374502280957868</v>
      </c>
      <c r="W18" s="10">
        <f>Table56a!W18*1.06</f>
        <v>-64.274767287596475</v>
      </c>
      <c r="X18" s="10">
        <f>Table56a!X18*1.06</f>
        <v>30.563998069874067</v>
      </c>
      <c r="Y18" s="10">
        <f>Table56a!Y18*1.06</f>
        <v>-20.898640186631255</v>
      </c>
      <c r="Z18" s="10">
        <f>Table56a!Z18*1.06</f>
        <v>1.4189667931137342</v>
      </c>
      <c r="AA18" s="10">
        <f>Table56a!AA18*1.06</f>
        <v>-0.10175999999976285</v>
      </c>
      <c r="AB18" s="10">
        <f>Table56a!AB18*1.06</f>
        <v>-17.368974049436027</v>
      </c>
      <c r="AC18" s="10">
        <f>Table56a!AC18*1.06</f>
        <v>30.634213512358695</v>
      </c>
      <c r="AD18" s="10">
        <f>Table56a!AD18*1.06</f>
        <v>5.696430934888645</v>
      </c>
      <c r="AE18" s="10">
        <f>Table56a!AE18*1.06</f>
        <v>0</v>
      </c>
    </row>
    <row r="19" spans="1:31" x14ac:dyDescent="0.2">
      <c r="A19" s="5" t="s">
        <v>25</v>
      </c>
      <c r="B19" s="10">
        <f>B16+B17+B18</f>
        <v>4414</v>
      </c>
      <c r="C19" s="10">
        <f t="shared" ref="C19:AB19" si="3">C16+C17+C18</f>
        <v>4391</v>
      </c>
      <c r="D19" s="10">
        <f t="shared" si="3"/>
        <v>4505</v>
      </c>
      <c r="E19" s="10">
        <f t="shared" si="3"/>
        <v>4549</v>
      </c>
      <c r="F19" s="10">
        <f t="shared" si="3"/>
        <v>4576</v>
      </c>
      <c r="G19" s="10">
        <f t="shared" si="3"/>
        <v>4623</v>
      </c>
      <c r="H19" s="10">
        <f t="shared" si="3"/>
        <v>5184</v>
      </c>
      <c r="I19" s="10">
        <f t="shared" si="3"/>
        <v>5232</v>
      </c>
      <c r="J19" s="10">
        <f t="shared" si="3"/>
        <v>5600</v>
      </c>
      <c r="K19" s="10">
        <f t="shared" si="3"/>
        <v>5561</v>
      </c>
      <c r="L19" s="10">
        <f t="shared" si="3"/>
        <v>5649</v>
      </c>
      <c r="M19" s="10">
        <f t="shared" si="3"/>
        <v>5523.49</v>
      </c>
      <c r="N19" s="10">
        <f t="shared" si="3"/>
        <v>5144.0000000000009</v>
      </c>
      <c r="O19" s="10">
        <f t="shared" si="3"/>
        <v>5392.3479400000006</v>
      </c>
      <c r="P19" s="10">
        <f t="shared" si="3"/>
        <v>4874.8889283399994</v>
      </c>
      <c r="Q19" s="10">
        <f t="shared" si="3"/>
        <v>4410.9764400000031</v>
      </c>
      <c r="R19" s="10">
        <f t="shared" si="3"/>
        <v>4653.3978799999995</v>
      </c>
      <c r="S19" s="10">
        <f t="shared" si="3"/>
        <v>5007.1368399999992</v>
      </c>
      <c r="T19" s="10">
        <f t="shared" si="3"/>
        <v>4526.9420000000018</v>
      </c>
      <c r="U19" s="10">
        <f t="shared" si="3"/>
        <v>4972.8229917260678</v>
      </c>
      <c r="V19" s="10">
        <f t="shared" si="3"/>
        <v>5053.165997719042</v>
      </c>
      <c r="W19" s="10">
        <f t="shared" si="3"/>
        <v>5142.2353527124042</v>
      </c>
      <c r="X19" s="10">
        <f t="shared" si="3"/>
        <v>5023.1247780698741</v>
      </c>
      <c r="Y19" s="10">
        <f t="shared" si="3"/>
        <v>4804.0581198133686</v>
      </c>
      <c r="Z19" s="10">
        <f t="shared" si="3"/>
        <v>4722.0070667931141</v>
      </c>
      <c r="AA19" s="10">
        <f t="shared" si="3"/>
        <v>4685.1077800000003</v>
      </c>
      <c r="AB19" s="10">
        <f t="shared" si="3"/>
        <v>4906.2578859505638</v>
      </c>
      <c r="AC19" s="10">
        <f t="shared" ref="AC19:AD19" si="4">AC16+AC17+AC18</f>
        <v>4904.4654535123582</v>
      </c>
      <c r="AD19" s="10">
        <f t="shared" si="4"/>
        <v>4702.1610509348893</v>
      </c>
      <c r="AE19" s="10">
        <f t="shared" ref="AE19" si="5">AE16+AE17+AE18</f>
        <v>4908.0026358125897</v>
      </c>
    </row>
    <row r="21" spans="1:31" x14ac:dyDescent="0.2">
      <c r="A21" s="5" t="s">
        <v>26</v>
      </c>
      <c r="B21" s="10">
        <f>Table56a!B21*1.06</f>
        <v>646</v>
      </c>
      <c r="C21" s="10">
        <f>Table56a!C21*1.06</f>
        <v>966</v>
      </c>
      <c r="D21" s="10">
        <f>Table56a!D21*1.06</f>
        <v>1076</v>
      </c>
      <c r="E21" s="10">
        <f>Table56a!E21*1.06</f>
        <v>524</v>
      </c>
      <c r="F21" s="10">
        <f>Table56a!F21*1.06</f>
        <v>318</v>
      </c>
      <c r="G21" s="10">
        <f>Table56a!G21*1.06</f>
        <v>155</v>
      </c>
      <c r="H21" s="10">
        <f>Table56a!H21*1.06</f>
        <v>413</v>
      </c>
      <c r="I21" s="10">
        <f>Table56a!I21*1.06</f>
        <v>38</v>
      </c>
      <c r="J21" s="10">
        <f>Table56a!J21*1.06</f>
        <v>14</v>
      </c>
      <c r="K21" s="10">
        <f>Table56a!K21*1.06</f>
        <v>127.51</v>
      </c>
      <c r="L21" s="10">
        <f>Table56a!L21*1.06</f>
        <v>866</v>
      </c>
      <c r="M21" s="10">
        <f>Table56a!M21*1.06</f>
        <v>160</v>
      </c>
      <c r="N21" s="10">
        <f>Table56a!N21*1.06</f>
        <v>677</v>
      </c>
      <c r="O21" s="10">
        <f>Table56a!O21*1.06</f>
        <v>1378.2872600000001</v>
      </c>
      <c r="P21" s="10">
        <f>Table56a!P21*1.06</f>
        <v>751.43082000000004</v>
      </c>
      <c r="Q21" s="10">
        <f>Table56a!Q21*1.06</f>
        <v>1557.5417399999999</v>
      </c>
      <c r="R21" s="10">
        <f>Table56a!R21*1.06</f>
        <v>984.91278000000011</v>
      </c>
      <c r="S21" s="10">
        <f>Table56a!S21*1.06</f>
        <v>2091.1807199999998</v>
      </c>
      <c r="T21" s="10">
        <f>Table56a!T21*1.06</f>
        <v>2661.87518</v>
      </c>
      <c r="U21" s="10">
        <f>Table56a!U21*1.06</f>
        <v>1528.8258682739333</v>
      </c>
      <c r="V21" s="10">
        <f>Table56a!V21*1.06</f>
        <v>1278.9114822809577</v>
      </c>
      <c r="W21" s="10">
        <f>Table56a!W21*1.06</f>
        <v>1307.5413472875966</v>
      </c>
      <c r="X21" s="10">
        <f>Table56a!X21*1.06</f>
        <v>1164.8541819301261</v>
      </c>
      <c r="Y21" s="10">
        <f>Table56a!Y21*1.06</f>
        <v>2336.6838201866303</v>
      </c>
      <c r="Z21" s="10">
        <f>Table56a!Z21*1.06</f>
        <v>1284.5974132068868</v>
      </c>
      <c r="AA21" s="10">
        <f>Table56a!AA21*1.06</f>
        <v>1234.7547800000002</v>
      </c>
      <c r="AB21" s="10">
        <f>Table56a!AB21*1.06</f>
        <v>1776.1361600000002</v>
      </c>
      <c r="AC21" s="10">
        <f>Table56a!AC21*1.06</f>
        <v>1071.7647264876412</v>
      </c>
      <c r="AD21" s="10">
        <f>Table56a!AD21*1.06</f>
        <v>472.65506906511212</v>
      </c>
      <c r="AE21" s="10">
        <f>Table56a!AE21*1.06</f>
        <v>1066.1748747290233</v>
      </c>
    </row>
    <row r="22" spans="1:31" x14ac:dyDescent="0.2">
      <c r="A22" s="5" t="s">
        <v>83</v>
      </c>
      <c r="B22" s="11" t="s">
        <v>84</v>
      </c>
      <c r="C22" s="11" t="s">
        <v>84</v>
      </c>
      <c r="D22" s="11" t="s">
        <v>84</v>
      </c>
      <c r="E22" s="11" t="s">
        <v>84</v>
      </c>
      <c r="F22" s="11" t="s">
        <v>84</v>
      </c>
      <c r="G22" s="11" t="s">
        <v>84</v>
      </c>
      <c r="H22" s="11" t="s">
        <v>84</v>
      </c>
      <c r="I22" s="11" t="s">
        <v>84</v>
      </c>
      <c r="J22" s="11" t="s">
        <v>84</v>
      </c>
      <c r="K22" s="11" t="s">
        <v>84</v>
      </c>
      <c r="L22" s="11" t="s">
        <v>84</v>
      </c>
      <c r="M22" s="10">
        <f>Table56a!M22*1.06</f>
        <v>54.431087408388521</v>
      </c>
      <c r="N22" s="10">
        <f>Table56a!N22*1.06</f>
        <v>629.58624435702723</v>
      </c>
      <c r="O22" s="10">
        <f>Table56a!O22*1.06</f>
        <v>1271.8730757760115</v>
      </c>
      <c r="P22" s="10">
        <f>Table56a!P22*1.06</f>
        <v>732.16435013250577</v>
      </c>
      <c r="Q22" s="10">
        <f>Table56a!Q22*1.06</f>
        <v>1549.0452447074272</v>
      </c>
      <c r="R22" s="10">
        <f>Table56a!R22*1.06</f>
        <v>971.85890101366556</v>
      </c>
      <c r="S22" s="10">
        <f>Table56a!S22*1.06</f>
        <v>1927.2006885532558</v>
      </c>
      <c r="T22" s="10">
        <f>Table56a!T22*1.06</f>
        <v>1931.9742949189717</v>
      </c>
      <c r="U22" s="10">
        <f>Table56a!U22*1.06</f>
        <v>1389.4623682739334</v>
      </c>
      <c r="V22" s="10">
        <f>Table56a!V22*1.06</f>
        <v>1187.3624622809573</v>
      </c>
      <c r="W22" s="10">
        <f>Table56a!W22*1.06</f>
        <v>1089.9625672875968</v>
      </c>
      <c r="X22" s="10">
        <f>Table56a!X22*1.06</f>
        <v>1109.7500819301263</v>
      </c>
      <c r="Y22" s="10">
        <f>Table56a!Y22*1.06</f>
        <v>907.58758018663059</v>
      </c>
      <c r="Z22" s="10">
        <f>Table56a!Z22*1.06</f>
        <v>1247.8344932068869</v>
      </c>
      <c r="AA22" s="10">
        <f>Table56a!AA22*1.06</f>
        <v>878.04057157177704</v>
      </c>
      <c r="AB22" s="10">
        <f>Table56a!AB22*1.06</f>
        <v>1250.9210000000003</v>
      </c>
      <c r="AC22" s="10">
        <f>Table56a!AC22*1.06</f>
        <v>1048.5931264876413</v>
      </c>
      <c r="AD22" s="10">
        <f>Table56a!AD22*1.06</f>
        <v>472.65506906511212</v>
      </c>
      <c r="AE22" s="10">
        <f>Table56a!AE22*1.06</f>
        <v>358.30397267559391</v>
      </c>
    </row>
    <row r="23" spans="1:31" x14ac:dyDescent="0.2">
      <c r="A23" s="5" t="s">
        <v>88</v>
      </c>
      <c r="B23" s="11" t="s">
        <v>84</v>
      </c>
      <c r="C23" s="11" t="s">
        <v>84</v>
      </c>
      <c r="D23" s="11" t="s">
        <v>84</v>
      </c>
      <c r="E23" s="11" t="s">
        <v>84</v>
      </c>
      <c r="F23" s="11" t="s">
        <v>84</v>
      </c>
      <c r="G23" s="11" t="s">
        <v>84</v>
      </c>
      <c r="H23" s="11" t="s">
        <v>84</v>
      </c>
      <c r="I23" s="11" t="s">
        <v>84</v>
      </c>
      <c r="J23" s="11" t="s">
        <v>84</v>
      </c>
      <c r="K23" s="11" t="s">
        <v>84</v>
      </c>
      <c r="L23" s="11" t="s">
        <v>84</v>
      </c>
      <c r="M23" s="10">
        <f>Table56a!M23*1.06</f>
        <v>105.56891259161146</v>
      </c>
      <c r="N23" s="10">
        <f>Table56a!N23*1.06</f>
        <v>47.413755642972809</v>
      </c>
      <c r="O23" s="10">
        <f>Table56a!O23*1.06</f>
        <v>106.41418422398841</v>
      </c>
      <c r="P23" s="10">
        <f>Table56a!P23*1.06</f>
        <v>19.266469867494315</v>
      </c>
      <c r="Q23" s="10">
        <f>Table56a!Q23*1.06</f>
        <v>8.4964952925727051</v>
      </c>
      <c r="R23" s="10">
        <f>Table56a!R23*1.06</f>
        <v>13.053878986334476</v>
      </c>
      <c r="S23" s="10">
        <f>Table56a!S23*1.06</f>
        <v>163.98003144674422</v>
      </c>
      <c r="T23" s="10">
        <f>Table56a!T23*1.06</f>
        <v>729.90088508102838</v>
      </c>
      <c r="U23" s="10">
        <f>Table56a!U23*1.06</f>
        <v>139.3634999999999</v>
      </c>
      <c r="V23" s="10">
        <f>Table56a!V23*1.06</f>
        <v>91.549020000000212</v>
      </c>
      <c r="W23" s="10">
        <f>Table56a!W23*1.06</f>
        <v>217.57877999999994</v>
      </c>
      <c r="X23" s="10">
        <f>Table56a!X23*1.06</f>
        <v>55.104099999999896</v>
      </c>
      <c r="Y23" s="10">
        <f>Table56a!Y23*1.06</f>
        <v>1429.0962399999999</v>
      </c>
      <c r="Z23" s="10">
        <f>Table56a!Z23*1.06</f>
        <v>36.762920000000022</v>
      </c>
      <c r="AA23" s="10">
        <f>Table56a!AA23*1.06</f>
        <v>356.71420842822306</v>
      </c>
      <c r="AB23" s="10">
        <f>Table56a!AB23*1.06</f>
        <v>525.21515999999986</v>
      </c>
      <c r="AC23" s="10">
        <f>Table56a!AC23*1.06</f>
        <v>23.171600000000016</v>
      </c>
      <c r="AD23" s="10">
        <f>Table56a!AD23*1.06</f>
        <v>0</v>
      </c>
      <c r="AE23" s="10">
        <f>Table56a!AE23*1.06</f>
        <v>707.8709020534294</v>
      </c>
    </row>
    <row r="24" spans="1:3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31" x14ac:dyDescent="0.2">
      <c r="A25" s="5" t="s">
        <v>27</v>
      </c>
      <c r="B25" s="10">
        <f t="shared" ref="B25:AD25" si="6">B19+B21</f>
        <v>5060</v>
      </c>
      <c r="C25" s="10">
        <f t="shared" si="6"/>
        <v>5357</v>
      </c>
      <c r="D25" s="10">
        <f t="shared" si="6"/>
        <v>5581</v>
      </c>
      <c r="E25" s="10">
        <f t="shared" si="6"/>
        <v>5073</v>
      </c>
      <c r="F25" s="10">
        <f t="shared" si="6"/>
        <v>4894</v>
      </c>
      <c r="G25" s="10">
        <f t="shared" si="6"/>
        <v>4778</v>
      </c>
      <c r="H25" s="10">
        <f t="shared" si="6"/>
        <v>5597</v>
      </c>
      <c r="I25" s="10">
        <f t="shared" si="6"/>
        <v>5270</v>
      </c>
      <c r="J25" s="10">
        <f t="shared" si="6"/>
        <v>5614</v>
      </c>
      <c r="K25" s="10">
        <f t="shared" si="6"/>
        <v>5688.51</v>
      </c>
      <c r="L25" s="10">
        <f t="shared" si="6"/>
        <v>6515</v>
      </c>
      <c r="M25" s="10">
        <f t="shared" si="6"/>
        <v>5683.49</v>
      </c>
      <c r="N25" s="10">
        <f t="shared" si="6"/>
        <v>5821.0000000000009</v>
      </c>
      <c r="O25" s="10">
        <f t="shared" si="6"/>
        <v>6770.6352000000006</v>
      </c>
      <c r="P25" s="10">
        <f t="shared" si="6"/>
        <v>5626.3197483399999</v>
      </c>
      <c r="Q25" s="10">
        <f t="shared" si="6"/>
        <v>5968.5181800000028</v>
      </c>
      <c r="R25" s="10">
        <f t="shared" si="6"/>
        <v>5638.3106599999992</v>
      </c>
      <c r="S25" s="10">
        <f t="shared" si="6"/>
        <v>7098.3175599999995</v>
      </c>
      <c r="T25" s="10">
        <f t="shared" si="6"/>
        <v>7188.8171800000018</v>
      </c>
      <c r="U25" s="10">
        <f t="shared" si="6"/>
        <v>6501.6488600000012</v>
      </c>
      <c r="V25" s="10">
        <f t="shared" si="6"/>
        <v>6332.0774799999999</v>
      </c>
      <c r="W25" s="10">
        <f t="shared" si="6"/>
        <v>6449.7767000000003</v>
      </c>
      <c r="X25" s="10">
        <f t="shared" si="6"/>
        <v>6187.9789600000004</v>
      </c>
      <c r="Y25" s="10">
        <f t="shared" si="6"/>
        <v>7140.741939999999</v>
      </c>
      <c r="Z25" s="10">
        <f t="shared" si="6"/>
        <v>6006.6044800000009</v>
      </c>
      <c r="AA25" s="10">
        <f t="shared" si="6"/>
        <v>5919.8625600000005</v>
      </c>
      <c r="AB25" s="10">
        <f t="shared" si="6"/>
        <v>6682.3940459505639</v>
      </c>
      <c r="AC25" s="10">
        <f t="shared" si="6"/>
        <v>5976.2301799999996</v>
      </c>
      <c r="AD25" s="10">
        <f t="shared" si="6"/>
        <v>5174.8161200000013</v>
      </c>
      <c r="AE25" s="10">
        <f t="shared" ref="AE25" si="7">AE19+AE21</f>
        <v>5974.1775105416127</v>
      </c>
    </row>
    <row r="26" spans="1:3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31" x14ac:dyDescent="0.2">
      <c r="A27" s="5" t="s">
        <v>28</v>
      </c>
      <c r="B27" s="10">
        <f t="shared" ref="B27:AD27" si="8">B13-B25</f>
        <v>1403</v>
      </c>
      <c r="C27" s="10">
        <f t="shared" si="8"/>
        <v>1055</v>
      </c>
      <c r="D27" s="10">
        <f t="shared" si="8"/>
        <v>991</v>
      </c>
      <c r="E27" s="10">
        <f t="shared" si="8"/>
        <v>940.99999999999909</v>
      </c>
      <c r="F27" s="10">
        <f t="shared" si="8"/>
        <v>1062.9999999999991</v>
      </c>
      <c r="G27" s="10">
        <f t="shared" si="8"/>
        <v>1548</v>
      </c>
      <c r="H27" s="10">
        <f t="shared" si="8"/>
        <v>1172.0000000000009</v>
      </c>
      <c r="I27" s="10">
        <f t="shared" si="8"/>
        <v>1194.0000000000018</v>
      </c>
      <c r="J27" s="10">
        <f t="shared" si="8"/>
        <v>1237.0000000000027</v>
      </c>
      <c r="K27" s="10">
        <f t="shared" si="8"/>
        <v>1965.4900000000034</v>
      </c>
      <c r="L27" s="10">
        <f t="shared" si="8"/>
        <v>1294.4900000000043</v>
      </c>
      <c r="M27" s="10">
        <f t="shared" si="8"/>
        <v>1718.0000000000036</v>
      </c>
      <c r="N27" s="10">
        <f t="shared" si="8"/>
        <v>1975.0000000000036</v>
      </c>
      <c r="O27" s="10">
        <f t="shared" si="8"/>
        <v>623.16869999999926</v>
      </c>
      <c r="P27" s="10">
        <f t="shared" si="8"/>
        <v>973.1849400000001</v>
      </c>
      <c r="Q27" s="10">
        <f t="shared" si="8"/>
        <v>805.50036000000091</v>
      </c>
      <c r="R27" s="10">
        <f t="shared" si="8"/>
        <v>1023.5285800000011</v>
      </c>
      <c r="S27" s="10">
        <f t="shared" si="8"/>
        <v>1548.1660400000001</v>
      </c>
      <c r="T27" s="10">
        <f t="shared" si="8"/>
        <v>880.64905999999974</v>
      </c>
      <c r="U27" s="10">
        <f t="shared" si="8"/>
        <v>859.35153999999966</v>
      </c>
      <c r="V27" s="10">
        <f t="shared" si="8"/>
        <v>1099.1927859505668</v>
      </c>
      <c r="W27" s="10">
        <f t="shared" si="8"/>
        <v>1062.4945259505666</v>
      </c>
      <c r="X27" s="10">
        <f t="shared" si="8"/>
        <v>1478.2169859505639</v>
      </c>
      <c r="Y27" s="10">
        <f t="shared" si="8"/>
        <v>1238.8774659505661</v>
      </c>
      <c r="Z27" s="10">
        <f t="shared" si="8"/>
        <v>908.96942595056316</v>
      </c>
      <c r="AA27" s="10">
        <f t="shared" si="8"/>
        <v>1115.6948659505642</v>
      </c>
      <c r="AB27" s="10">
        <f t="shared" si="8"/>
        <v>1022.1293799999994</v>
      </c>
      <c r="AC27" s="10">
        <f t="shared" si="8"/>
        <v>885.19646000000012</v>
      </c>
      <c r="AD27" s="10">
        <f t="shared" si="8"/>
        <v>1503.0100399999992</v>
      </c>
      <c r="AE27" s="10">
        <f t="shared" ref="AE27" si="9">AE13-AE25</f>
        <v>1030.3325294583865</v>
      </c>
    </row>
    <row r="30" spans="1:31" x14ac:dyDescent="0.2">
      <c r="A30" s="12" t="s">
        <v>105</v>
      </c>
      <c r="B30" s="12">
        <f t="shared" ref="B30:AD30" si="10">100*B27/B16</f>
        <v>32.304858392816023</v>
      </c>
      <c r="C30" s="12">
        <f t="shared" si="10"/>
        <v>24.529179260637061</v>
      </c>
      <c r="D30" s="12">
        <f t="shared" si="10"/>
        <v>22.568890913231609</v>
      </c>
      <c r="E30" s="12">
        <f t="shared" si="10"/>
        <v>21.279963817277231</v>
      </c>
      <c r="F30" s="12">
        <f t="shared" si="10"/>
        <v>23.91451068616421</v>
      </c>
      <c r="G30" s="12">
        <f t="shared" si="10"/>
        <v>34.545860299040392</v>
      </c>
      <c r="H30" s="12">
        <f t="shared" si="10"/>
        <v>23.42126298960833</v>
      </c>
      <c r="I30" s="12">
        <f t="shared" si="10"/>
        <v>23.425544437904684</v>
      </c>
      <c r="J30" s="12">
        <f t="shared" si="10"/>
        <v>22.992565055762132</v>
      </c>
      <c r="K30" s="12">
        <f t="shared" si="10"/>
        <v>37.232240954726343</v>
      </c>
      <c r="L30" s="12">
        <f t="shared" si="10"/>
        <v>24.305107022155546</v>
      </c>
      <c r="M30" s="12">
        <f t="shared" si="10"/>
        <v>33.466511086999361</v>
      </c>
      <c r="N30" s="12">
        <f t="shared" si="10"/>
        <v>38.801571709233855</v>
      </c>
      <c r="O30" s="12">
        <f t="shared" si="10"/>
        <v>11.774438376143117</v>
      </c>
      <c r="P30" s="12">
        <f t="shared" si="10"/>
        <v>21.088446155839215</v>
      </c>
      <c r="Q30" s="12">
        <f t="shared" si="10"/>
        <v>19.238209379635325</v>
      </c>
      <c r="R30" s="12">
        <f t="shared" si="10"/>
        <v>23.349254274158429</v>
      </c>
      <c r="S30" s="12">
        <f t="shared" si="10"/>
        <v>34.069962982289859</v>
      </c>
      <c r="T30" s="12">
        <f t="shared" si="10"/>
        <v>20.27296731903018</v>
      </c>
      <c r="U30" s="12">
        <f t="shared" si="10"/>
        <v>18.390463288442369</v>
      </c>
      <c r="V30" s="12">
        <f t="shared" si="10"/>
        <v>23.637775659154876</v>
      </c>
      <c r="W30" s="12">
        <f t="shared" si="10"/>
        <v>22.19932677735676</v>
      </c>
      <c r="X30" s="12">
        <f t="shared" si="10"/>
        <v>32.980667637296001</v>
      </c>
      <c r="Y30" s="12">
        <f t="shared" si="10"/>
        <v>28.562443214150292</v>
      </c>
      <c r="Z30" s="12">
        <f t="shared" si="10"/>
        <v>20.909328515678023</v>
      </c>
      <c r="AA30" s="12">
        <f t="shared" si="10"/>
        <v>26.745294068715662</v>
      </c>
      <c r="AB30" s="12">
        <f t="shared" si="10"/>
        <v>23.444095583984129</v>
      </c>
      <c r="AC30" s="12">
        <f t="shared" si="10"/>
        <v>19.915367718059652</v>
      </c>
      <c r="AD30" s="12">
        <f t="shared" si="10"/>
        <v>34.361212769783194</v>
      </c>
      <c r="AE30" s="12">
        <f t="shared" ref="AE30" si="11">100*AE27/AE16</f>
        <v>22.990782627790772</v>
      </c>
    </row>
    <row r="31" spans="1:31" x14ac:dyDescent="0.2">
      <c r="A31" s="12" t="s">
        <v>67</v>
      </c>
      <c r="B31" s="12">
        <f>100*B27/B25</f>
        <v>27.727272727272727</v>
      </c>
      <c r="C31" s="12">
        <f t="shared" ref="C31:AB31" si="12">100*C27/C25</f>
        <v>19.693858502893409</v>
      </c>
      <c r="D31" s="12">
        <f t="shared" si="12"/>
        <v>17.756674431105537</v>
      </c>
      <c r="E31" s="12">
        <f t="shared" si="12"/>
        <v>18.549181943623086</v>
      </c>
      <c r="F31" s="12">
        <f t="shared" si="12"/>
        <v>21.72047404985695</v>
      </c>
      <c r="G31" s="12">
        <f t="shared" si="12"/>
        <v>32.398493093344499</v>
      </c>
      <c r="H31" s="12">
        <f t="shared" si="12"/>
        <v>20.939789172771142</v>
      </c>
      <c r="I31" s="12">
        <f t="shared" si="12"/>
        <v>22.656546489563599</v>
      </c>
      <c r="J31" s="12">
        <f t="shared" si="12"/>
        <v>22.034200213751387</v>
      </c>
      <c r="K31" s="12">
        <f t="shared" si="12"/>
        <v>34.551930118783361</v>
      </c>
      <c r="L31" s="12">
        <f t="shared" si="12"/>
        <v>19.86937835763629</v>
      </c>
      <c r="M31" s="12">
        <f t="shared" si="12"/>
        <v>30.227905741014826</v>
      </c>
      <c r="N31" s="12">
        <f t="shared" si="12"/>
        <v>33.928878199622112</v>
      </c>
      <c r="O31" s="12">
        <f t="shared" si="12"/>
        <v>9.2039916727458468</v>
      </c>
      <c r="P31" s="12">
        <f t="shared" si="12"/>
        <v>17.297007342803976</v>
      </c>
      <c r="Q31" s="12">
        <f t="shared" si="12"/>
        <v>13.49581815297412</v>
      </c>
      <c r="R31" s="12">
        <f t="shared" si="12"/>
        <v>18.153107228752827</v>
      </c>
      <c r="S31" s="12">
        <f t="shared" si="12"/>
        <v>21.810323740996452</v>
      </c>
      <c r="T31" s="12">
        <f t="shared" si="12"/>
        <v>12.250263679678101</v>
      </c>
      <c r="U31" s="12">
        <f t="shared" si="12"/>
        <v>13.217440044893467</v>
      </c>
      <c r="V31" s="12">
        <f t="shared" si="12"/>
        <v>17.359117752781614</v>
      </c>
      <c r="W31" s="12">
        <f t="shared" si="12"/>
        <v>16.473353658128453</v>
      </c>
      <c r="X31" s="12">
        <f t="shared" si="12"/>
        <v>23.888526375186057</v>
      </c>
      <c r="Y31" s="12">
        <f t="shared" si="12"/>
        <v>17.349422179938998</v>
      </c>
      <c r="Z31" s="12">
        <f t="shared" si="12"/>
        <v>15.132833017008688</v>
      </c>
      <c r="AA31" s="12">
        <f t="shared" si="12"/>
        <v>18.846634607519743</v>
      </c>
      <c r="AB31" s="12">
        <f t="shared" si="12"/>
        <v>15.295856140351306</v>
      </c>
      <c r="AC31" s="12">
        <f t="shared" ref="AC31:AD31" si="13">100*AC27/AC25</f>
        <v>14.811953913060293</v>
      </c>
      <c r="AD31" s="12">
        <f t="shared" si="13"/>
        <v>29.04470429762824</v>
      </c>
      <c r="AE31" s="12">
        <f t="shared" ref="AE31" si="14">100*AE27/AE25</f>
        <v>17.246433130591353</v>
      </c>
    </row>
    <row r="32" spans="1:31" x14ac:dyDescent="0.2">
      <c r="A32" s="3" t="s">
        <v>30</v>
      </c>
      <c r="B32" s="16">
        <f>Table56a!B32*1.06</f>
        <v>123.3749459252</v>
      </c>
      <c r="C32" s="16">
        <f>Table56a!C32*1.06</f>
        <v>425.80200000000002</v>
      </c>
      <c r="D32" s="16">
        <f>Table56a!D32*1.06</f>
        <v>433.88132000000002</v>
      </c>
      <c r="E32" s="16">
        <f>Table56a!E32*1.06</f>
        <v>508.27000000000004</v>
      </c>
      <c r="F32" s="16">
        <f>Table56a!F32*1.06</f>
        <v>614.80000000000007</v>
      </c>
      <c r="G32" s="16">
        <f>Table56a!G32*1.06</f>
        <v>636</v>
      </c>
      <c r="H32" s="16">
        <f>Table56a!H32*1.06</f>
        <v>278.25</v>
      </c>
      <c r="I32" s="16">
        <f>Table56a!I32*1.06</f>
        <v>137.80000000000001</v>
      </c>
      <c r="J32" s="16">
        <f>Table56a!J32*1.06</f>
        <v>143.1</v>
      </c>
      <c r="K32" s="16">
        <f>Table56a!K32*1.06</f>
        <v>376.3</v>
      </c>
      <c r="L32" s="16">
        <f>Table56a!L32*1.06</f>
        <v>707.02</v>
      </c>
      <c r="M32" s="16">
        <f>Table56a!M32*1.06</f>
        <v>739.88</v>
      </c>
      <c r="N32" s="16">
        <f>Table56a!N32*1.06</f>
        <v>828.92000000000007</v>
      </c>
      <c r="O32" s="16">
        <f>Table56a!O32*1.06</f>
        <v>692.18000000000006</v>
      </c>
      <c r="P32" s="16">
        <f>Table56a!P32*1.06</f>
        <v>1503.0800000000002</v>
      </c>
      <c r="Q32" s="16">
        <f>Table56a!Q32*1.06</f>
        <v>1733.2208400000002</v>
      </c>
      <c r="R32" s="16">
        <f>Table56a!R32*1.06</f>
        <v>1823.8943000000002</v>
      </c>
      <c r="S32" s="16">
        <f>Table56a!S32*1.06</f>
        <v>1658.9</v>
      </c>
      <c r="T32" s="16">
        <f>Table56a!T32*1.06</f>
        <v>1454.3200000000002</v>
      </c>
      <c r="U32" s="16">
        <f>Table56a!U32*1.06</f>
        <v>1530.6771000000001</v>
      </c>
      <c r="V32" s="16">
        <f>Table56a!V32*1.06</f>
        <v>1570.5426400000001</v>
      </c>
      <c r="W32" s="16">
        <f>Table56a!W32*1.06</f>
        <v>1612.9765600000001</v>
      </c>
      <c r="X32" s="16">
        <f>Table56a!X32*1.06</f>
        <v>1688.6224</v>
      </c>
      <c r="Y32" s="16">
        <f>Table56a!Y32*1.06</f>
        <v>1620.1008200000001</v>
      </c>
      <c r="Z32" s="16">
        <f>Table56a!Z32*1.06</f>
        <v>1471.00864</v>
      </c>
      <c r="AA32" s="16">
        <f>Table56a!AA32*1.06</f>
        <v>1399.0993000000001</v>
      </c>
      <c r="AB32" s="16">
        <f>Table56a!AB32*1.06</f>
        <v>1368.46318</v>
      </c>
      <c r="AC32" s="16">
        <f>Table56a!AC32*1.06</f>
        <v>1476.0309200000002</v>
      </c>
      <c r="AD32" s="16">
        <f>Table56a!AD32*1.06</f>
        <v>1694.5902000000001</v>
      </c>
      <c r="AE32" s="16">
        <f>Table56a!AE32*1.06</f>
        <v>1491.42</v>
      </c>
    </row>
    <row r="33" spans="1:30" s="22" customFormat="1" x14ac:dyDescent="0.2">
      <c r="A33" s="31" t="s">
        <v>87</v>
      </c>
    </row>
    <row r="34" spans="1:30" x14ac:dyDescent="0.2">
      <c r="A34" s="26" t="s">
        <v>31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P34" s="10"/>
      <c r="Q34" s="10"/>
      <c r="R34" s="10"/>
      <c r="S34" s="10"/>
      <c r="AB34" s="10"/>
      <c r="AC34" s="10"/>
      <c r="AD34" s="10"/>
    </row>
    <row r="35" spans="1:30" x14ac:dyDescent="0.2">
      <c r="A35" s="26" t="s">
        <v>89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P35" s="10"/>
      <c r="Q35" s="10"/>
      <c r="R35" s="10"/>
      <c r="S35" s="10"/>
      <c r="AB35" s="10"/>
      <c r="AC35" s="10"/>
      <c r="AD35" s="10"/>
    </row>
    <row r="36" spans="1:30" x14ac:dyDescent="0.2">
      <c r="A36" s="22" t="s">
        <v>99</v>
      </c>
    </row>
    <row r="37" spans="1:30" x14ac:dyDescent="0.2">
      <c r="A37" s="22" t="s">
        <v>106</v>
      </c>
      <c r="E37" s="10"/>
      <c r="F37" s="10"/>
      <c r="G37" s="10"/>
      <c r="H37" s="10"/>
      <c r="I37" s="10"/>
      <c r="J37" s="10"/>
      <c r="K37" s="10"/>
      <c r="L37" s="10"/>
    </row>
    <row r="38" spans="1:30" x14ac:dyDescent="0.2">
      <c r="A38" s="22" t="s">
        <v>80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40" spans="1:30" x14ac:dyDescent="0.2">
      <c r="E40" s="18"/>
      <c r="F40" s="18"/>
      <c r="G40" s="18"/>
      <c r="H40" s="18"/>
      <c r="I40" s="18"/>
      <c r="J40" s="18"/>
      <c r="K40" s="18"/>
      <c r="L40" s="18"/>
    </row>
  </sheetData>
  <pageMargins left="0.75" right="0.75" top="1" bottom="1" header="0.5" footer="0.5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Content</vt:lpstr>
      <vt:lpstr>Table24a</vt:lpstr>
      <vt:lpstr>Table24b</vt:lpstr>
      <vt:lpstr>Table56a</vt:lpstr>
      <vt:lpstr>Table56b</vt:lpstr>
      <vt:lpstr>Table24a!Print_Area</vt:lpstr>
      <vt:lpstr>Table24b!Print_Area</vt:lpstr>
      <vt:lpstr>Table56a!Print_Area</vt:lpstr>
      <vt:lpstr>Table56b!Print_Area</vt:lpstr>
      <vt:lpstr>Table24a!Print_Titles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and Mexico fiscal year sugar supply and use</dc:title>
  <dc:subject>Agricultural Economics</dc:subject>
  <dc:creator>Vidalina Abadam</dc:creator>
  <cp:keywords>sugar, WASDE, US, Mexico, sugar, supply and utilization, high-fructose corn syrup</cp:keywords>
  <cp:lastModifiedBy>Abadam, Vidalina - REE-ERS</cp:lastModifiedBy>
  <dcterms:created xsi:type="dcterms:W3CDTF">2015-06-05T18:17:20Z</dcterms:created>
  <dcterms:modified xsi:type="dcterms:W3CDTF">2024-11-18T09:57:27Z</dcterms:modified>
</cp:coreProperties>
</file>